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50" activeTab="0"/>
  </bookViews>
  <sheets>
    <sheet name="Лист1" sheetId="1" r:id="rId1"/>
  </sheets>
  <definedNames>
    <definedName name="_xlnm.Print_Area" localSheetId="0">'Лист1'!$B$1:$L$77</definedName>
  </definedNames>
  <calcPr fullCalcOnLoad="1"/>
</workbook>
</file>

<file path=xl/sharedStrings.xml><?xml version="1.0" encoding="utf-8"?>
<sst xmlns="http://schemas.openxmlformats.org/spreadsheetml/2006/main" count="84" uniqueCount="78">
  <si>
    <t>Доходи</t>
  </si>
  <si>
    <t>РАЗОМ</t>
  </si>
  <si>
    <t>в т.ч. на забезпечення централізованих заходів з лікування хворих на цукровий та нецукровий діабет</t>
  </si>
  <si>
    <t>Офіційні трансферти, в т.ч.:</t>
  </si>
  <si>
    <t xml:space="preserve">  -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</si>
  <si>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  -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</si>
  <si>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  - надання пільг та житлових субсидій населенню на придбання твердого та рідкого пічного побутового палива і скрапленого газу</t>
  </si>
  <si>
    <t xml:space="preserve">  -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</si>
  <si>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 -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</si>
  <si>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  - на поховання учасників бойових дій та інвалідів війни </t>
  </si>
  <si>
    <t>Інші міжбюджетенті трансферти до районного бюджету, з них:</t>
  </si>
  <si>
    <t xml:space="preserve">1. Базова дотація                                                  </t>
  </si>
  <si>
    <t>2. 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</si>
  <si>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3. Освітня субвенція</t>
  </si>
  <si>
    <t>4. Медична субвенція</t>
  </si>
  <si>
    <t>5. Субвенції на соціальні напрямки з Державного бюджету, в т.ч.:</t>
  </si>
  <si>
    <t>Видатки</t>
  </si>
  <si>
    <t>Державне управління</t>
  </si>
  <si>
    <t>Пожежна охорона</t>
  </si>
  <si>
    <t xml:space="preserve">Освіта </t>
  </si>
  <si>
    <t>Охорона здоров"я</t>
  </si>
  <si>
    <t>Соціальний захист   в т.ч.:</t>
  </si>
  <si>
    <t>Молодіжні програми*</t>
  </si>
  <si>
    <t>Утримання терцентру та стаціонарного відділення</t>
  </si>
  <si>
    <t>Мат.допомога жителям району</t>
  </si>
  <si>
    <t>Рада ветеранів</t>
  </si>
  <si>
    <t>Виплата компенсацій фізичним особам по догляду за одинокими непрацездатними громадянами</t>
  </si>
  <si>
    <t>Благоустрій</t>
  </si>
  <si>
    <t>Культура і мистецтво</t>
  </si>
  <si>
    <t>Засоби масової інформації</t>
  </si>
  <si>
    <t>Фізична культура</t>
  </si>
  <si>
    <t>Сільське, лісове господарство</t>
  </si>
  <si>
    <t>Транспорт, дорожнє господарство</t>
  </si>
  <si>
    <t>Підтримка малого, серед. підприємництва</t>
  </si>
  <si>
    <t>Охорона навкол.природ. середовища</t>
  </si>
  <si>
    <t>Запобігання і ліквідація надзвич. ситуацій</t>
  </si>
  <si>
    <t>Резервний фонд</t>
  </si>
  <si>
    <t>Інші видатки</t>
  </si>
  <si>
    <t>Проведення виборів депутатів місцевих рад та сільських, селищних, міських голів</t>
  </si>
  <si>
    <t>Інші додаткові дотації</t>
  </si>
  <si>
    <t>Інші субвенції</t>
  </si>
  <si>
    <t xml:space="preserve">Передано до бюджету розвитку за рахунок доходів    </t>
  </si>
  <si>
    <t>Кредитування</t>
  </si>
  <si>
    <t xml:space="preserve">Разом видатків </t>
  </si>
  <si>
    <t>Інші міжбюджетенті трансферти до сільських та селищних бюджетів</t>
  </si>
  <si>
    <t>Субвенції на соціальні напрямки з Державного бюджету</t>
  </si>
  <si>
    <t>Інші міжбюджетні трансферти до районного бюджету, з них:</t>
  </si>
  <si>
    <t xml:space="preserve">  - на часткове відшкодування вартості лікарських засобів </t>
  </si>
  <si>
    <t xml:space="preserve">  - на фінансування заходів програми передачі нетелей багатодітним сім'ям, які проживають у сільській місцевості </t>
  </si>
  <si>
    <t xml:space="preserve">  - на здійснення заходів щодо соціально-економічного розвитку окремих територій</t>
  </si>
  <si>
    <t xml:space="preserve">  - на надання державної підтримки особам з особливими освітніми потребами</t>
  </si>
  <si>
    <t xml:space="preserve">  - на проведення виборів депутатів місцевих рад та сільських, мелищних, міських голів</t>
  </si>
  <si>
    <t xml:space="preserve">  - з обласного бюджету на виконання доручень виборців депутатами обласної ради</t>
  </si>
  <si>
    <t xml:space="preserve">   - Інші додаткові дотації на виконання районних програм</t>
  </si>
  <si>
    <t xml:space="preserve">  - інші субвенції між бюджетами </t>
  </si>
  <si>
    <t xml:space="preserve">Відхилення показників на 2018 рік від бюджету на 2017 рік,  +,- </t>
  </si>
  <si>
    <t>Питома вага показників на 2018 рік від бюджету на 2017 рік,                %</t>
  </si>
  <si>
    <t>в т.ч. отг</t>
  </si>
  <si>
    <t xml:space="preserve">  - інша додаткова дотація на освіту, культуру, управління</t>
  </si>
  <si>
    <t xml:space="preserve">  - інші субвенції з ОТГ та сільських, селищних рад</t>
  </si>
  <si>
    <t>Проект бюджету на 2018 рік</t>
  </si>
  <si>
    <t xml:space="preserve">Факт станом на 01.12.2017 року              </t>
  </si>
  <si>
    <t>Відхилення  показників на 2018 рік від фактичного виконання станом на 01.12.2017 року,     +,-</t>
  </si>
  <si>
    <t>Питома вага  показників  на 2018 рік від фактичного виконання станом на 01.12.2017 року,                   %</t>
  </si>
  <si>
    <t>5=4-2</t>
  </si>
  <si>
    <t>6=4/2*100</t>
  </si>
  <si>
    <t>7=4-3</t>
  </si>
  <si>
    <t>8=4/3*100</t>
  </si>
  <si>
    <r>
      <t xml:space="preserve">Власні доходи </t>
    </r>
    <r>
      <rPr>
        <b/>
        <i/>
        <sz val="12"/>
        <rFont val="Times New Roman"/>
        <family val="1"/>
      </rPr>
      <t>(у співставних умовах)</t>
    </r>
  </si>
  <si>
    <t xml:space="preserve">  - інші цільові з районного бюджету</t>
  </si>
  <si>
    <t xml:space="preserve">Уточнений бюджет на 2017 рік (станом на 15.12.2017)              </t>
  </si>
  <si>
    <t>Заходи з мобілізаційної підготовки</t>
  </si>
  <si>
    <t>Оздоровлення дітей</t>
  </si>
  <si>
    <t>Субвенція з місцевого бюджету до ДБ</t>
  </si>
  <si>
    <t>Субвенція з ДБ на соц.економ.розвиток</t>
  </si>
  <si>
    <t>Будівництво</t>
  </si>
  <si>
    <t>Субвенція за рахунок залишку освітньої сібвенції</t>
  </si>
  <si>
    <t xml:space="preserve">Проект показників загального фонду Зведеного бюджету Чернігівського району на 2018 рік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</si>
</sst>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_ ;\-0.0\ "/>
    <numFmt numFmtId="181" formatCode="0.0"/>
    <numFmt numFmtId="182" formatCode="0.000"/>
    <numFmt numFmtId="183" formatCode="0.000000"/>
    <numFmt numFmtId="184" formatCode="0.00000"/>
    <numFmt numFmtId="185" formatCode="0.0000"/>
    <numFmt numFmtId="186" formatCode="0.00000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181" fontId="12" fillId="0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81" fontId="13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81" fontId="13" fillId="35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181" fontId="13" fillId="0" borderId="15" xfId="0" applyNumberFormat="1" applyFont="1" applyFill="1" applyBorder="1" applyAlignment="1">
      <alignment horizontal="center" vertical="center"/>
    </xf>
    <xf numFmtId="181" fontId="12" fillId="36" borderId="10" xfId="0" applyNumberFormat="1" applyFont="1" applyFill="1" applyBorder="1" applyAlignment="1">
      <alignment horizontal="center" vertical="center"/>
    </xf>
    <xf numFmtId="181" fontId="12" fillId="36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181" fontId="19" fillId="33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19" fillId="34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181" fontId="21" fillId="35" borderId="16" xfId="0" applyNumberFormat="1" applyFont="1" applyFill="1" applyBorder="1" applyAlignment="1">
      <alignment horizontal="center" vertical="center"/>
    </xf>
    <xf numFmtId="181" fontId="19" fillId="35" borderId="16" xfId="0" applyNumberFormat="1" applyFont="1" applyFill="1" applyBorder="1" applyAlignment="1">
      <alignment horizontal="center" vertical="center"/>
    </xf>
    <xf numFmtId="0" fontId="22" fillId="35" borderId="0" xfId="0" applyFont="1" applyFill="1" applyAlignment="1">
      <alignment vertical="center"/>
    </xf>
    <xf numFmtId="0" fontId="22" fillId="35" borderId="0" xfId="0" applyFont="1" applyFill="1" applyAlignment="1">
      <alignment horizontal="center" vertical="center"/>
    </xf>
    <xf numFmtId="181" fontId="19" fillId="0" borderId="10" xfId="0" applyNumberFormat="1" applyFont="1" applyFill="1" applyBorder="1" applyAlignment="1">
      <alignment horizontal="center" vertical="center"/>
    </xf>
    <xf numFmtId="181" fontId="13" fillId="0" borderId="17" xfId="0" applyNumberFormat="1" applyFont="1" applyFill="1" applyBorder="1" applyAlignment="1">
      <alignment horizontal="center" vertical="center"/>
    </xf>
    <xf numFmtId="181" fontId="13" fillId="0" borderId="18" xfId="0" applyNumberFormat="1" applyFont="1" applyFill="1" applyBorder="1" applyAlignment="1">
      <alignment horizontal="center" vertical="center"/>
    </xf>
    <xf numFmtId="181" fontId="16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81" fontId="13" fillId="35" borderId="19" xfId="0" applyNumberFormat="1" applyFont="1" applyFill="1" applyBorder="1" applyAlignment="1">
      <alignment horizontal="center" vertical="center"/>
    </xf>
    <xf numFmtId="181" fontId="12" fillId="0" borderId="17" xfId="0" applyNumberFormat="1" applyFont="1" applyFill="1" applyBorder="1" applyAlignment="1">
      <alignment horizontal="center" vertical="center"/>
    </xf>
    <xf numFmtId="181" fontId="13" fillId="35" borderId="17" xfId="0" applyNumberFormat="1" applyFont="1" applyFill="1" applyBorder="1" applyAlignment="1">
      <alignment horizontal="center" vertical="center"/>
    </xf>
    <xf numFmtId="181" fontId="12" fillId="0" borderId="20" xfId="0" applyNumberFormat="1" applyFont="1" applyFill="1" applyBorder="1" applyAlignment="1">
      <alignment horizontal="center" vertical="center"/>
    </xf>
    <xf numFmtId="181" fontId="12" fillId="0" borderId="11" xfId="0" applyNumberFormat="1" applyFont="1" applyFill="1" applyBorder="1" applyAlignment="1">
      <alignment horizontal="center" vertical="center"/>
    </xf>
    <xf numFmtId="181" fontId="17" fillId="0" borderId="19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81" fontId="17" fillId="0" borderId="17" xfId="0" applyNumberFormat="1" applyFont="1" applyFill="1" applyBorder="1" applyAlignment="1">
      <alignment horizontal="center" vertical="center"/>
    </xf>
    <xf numFmtId="181" fontId="13" fillId="35" borderId="21" xfId="0" applyNumberFormat="1" applyFont="1" applyFill="1" applyBorder="1" applyAlignment="1">
      <alignment horizontal="center" vertical="center"/>
    </xf>
    <xf numFmtId="181" fontId="13" fillId="35" borderId="22" xfId="0" applyNumberFormat="1" applyFont="1" applyFill="1" applyBorder="1" applyAlignment="1">
      <alignment horizontal="center" vertical="center"/>
    </xf>
    <xf numFmtId="181" fontId="13" fillId="35" borderId="23" xfId="0" applyNumberFormat="1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left" vertical="center" wrapText="1"/>
    </xf>
    <xf numFmtId="181" fontId="17" fillId="36" borderId="25" xfId="0" applyNumberFormat="1" applyFont="1" applyFill="1" applyBorder="1" applyAlignment="1">
      <alignment horizontal="center" vertical="center" wrapText="1"/>
    </xf>
    <xf numFmtId="181" fontId="13" fillId="35" borderId="25" xfId="0" applyNumberFormat="1" applyFont="1" applyFill="1" applyBorder="1" applyAlignment="1">
      <alignment horizontal="center" vertical="center"/>
    </xf>
    <xf numFmtId="181" fontId="13" fillId="35" borderId="2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vertical="center" wrapText="1"/>
    </xf>
    <xf numFmtId="0" fontId="12" fillId="36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181" fontId="13" fillId="33" borderId="27" xfId="0" applyNumberFormat="1" applyFont="1" applyFill="1" applyBorder="1" applyAlignment="1">
      <alignment horizontal="center" vertical="center"/>
    </xf>
    <xf numFmtId="181" fontId="13" fillId="33" borderId="28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Alignment="1">
      <alignment vertical="center"/>
    </xf>
    <xf numFmtId="181" fontId="22" fillId="0" borderId="0" xfId="0" applyNumberFormat="1" applyFont="1" applyFill="1" applyAlignment="1">
      <alignment horizontal="center" vertical="center"/>
    </xf>
    <xf numFmtId="181" fontId="16" fillId="0" borderId="16" xfId="0" applyNumberFormat="1" applyFont="1" applyFill="1" applyBorder="1" applyAlignment="1">
      <alignment horizontal="center" vertical="center"/>
    </xf>
    <xf numFmtId="181" fontId="13" fillId="0" borderId="29" xfId="0" applyNumberFormat="1" applyFont="1" applyFill="1" applyBorder="1" applyAlignment="1">
      <alignment horizontal="center" vertical="center"/>
    </xf>
    <xf numFmtId="181" fontId="12" fillId="35" borderId="10" xfId="0" applyNumberFormat="1" applyFont="1" applyFill="1" applyBorder="1" applyAlignment="1">
      <alignment horizontal="center" vertical="center"/>
    </xf>
    <xf numFmtId="181" fontId="17" fillId="33" borderId="16" xfId="0" applyNumberFormat="1" applyFont="1" applyFill="1" applyBorder="1" applyAlignment="1">
      <alignment horizontal="center" vertical="center"/>
    </xf>
    <xf numFmtId="181" fontId="13" fillId="0" borderId="30" xfId="0" applyNumberFormat="1" applyFont="1" applyFill="1" applyBorder="1" applyAlignment="1">
      <alignment horizontal="center" vertical="center"/>
    </xf>
    <xf numFmtId="181" fontId="19" fillId="33" borderId="16" xfId="0" applyNumberFormat="1" applyFont="1" applyFill="1" applyBorder="1" applyAlignment="1">
      <alignment horizontal="center" vertical="center"/>
    </xf>
    <xf numFmtId="181" fontId="21" fillId="35" borderId="11" xfId="0" applyNumberFormat="1" applyFont="1" applyFill="1" applyBorder="1" applyAlignment="1">
      <alignment horizontal="center" vertical="center"/>
    </xf>
    <xf numFmtId="181" fontId="19" fillId="35" borderId="11" xfId="0" applyNumberFormat="1" applyFont="1" applyFill="1" applyBorder="1" applyAlignment="1">
      <alignment horizontal="center" vertical="center"/>
    </xf>
    <xf numFmtId="181" fontId="28" fillId="0" borderId="10" xfId="0" applyNumberFormat="1" applyFont="1" applyFill="1" applyBorder="1" applyAlignment="1">
      <alignment horizontal="center" vertical="center"/>
    </xf>
    <xf numFmtId="181" fontId="13" fillId="33" borderId="10" xfId="0" applyNumberFormat="1" applyFont="1" applyFill="1" applyBorder="1" applyAlignment="1">
      <alignment horizontal="center" vertical="center"/>
    </xf>
    <xf numFmtId="181" fontId="29" fillId="0" borderId="10" xfId="0" applyNumberFormat="1" applyFont="1" applyFill="1" applyBorder="1" applyAlignment="1">
      <alignment horizontal="center" vertical="center"/>
    </xf>
    <xf numFmtId="181" fontId="13" fillId="33" borderId="17" xfId="0" applyNumberFormat="1" applyFont="1" applyFill="1" applyBorder="1" applyAlignment="1">
      <alignment horizontal="center" vertical="center"/>
    </xf>
    <xf numFmtId="181" fontId="17" fillId="33" borderId="19" xfId="0" applyNumberFormat="1" applyFont="1" applyFill="1" applyBorder="1" applyAlignment="1">
      <alignment horizontal="center" vertical="center"/>
    </xf>
    <xf numFmtId="181" fontId="12" fillId="33" borderId="10" xfId="0" applyNumberFormat="1" applyFont="1" applyFill="1" applyBorder="1" applyAlignment="1">
      <alignment horizontal="center" vertical="center"/>
    </xf>
    <xf numFmtId="181" fontId="12" fillId="33" borderId="20" xfId="0" applyNumberFormat="1" applyFont="1" applyFill="1" applyBorder="1" applyAlignment="1">
      <alignment horizontal="center" vertical="center"/>
    </xf>
    <xf numFmtId="181" fontId="17" fillId="33" borderId="20" xfId="0" applyNumberFormat="1" applyFont="1" applyFill="1" applyBorder="1" applyAlignment="1">
      <alignment horizontal="center" vertical="center"/>
    </xf>
    <xf numFmtId="181" fontId="19" fillId="37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="75" zoomScaleNormal="75" zoomScaleSheetLayoutView="75" zoomScalePageLayoutView="0" workbookViewId="0" topLeftCell="B1">
      <pane ySplit="4" topLeftCell="A19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9.00390625" style="5" customWidth="1"/>
    <col min="2" max="2" width="70.125" style="5" customWidth="1"/>
    <col min="3" max="3" width="15.75390625" style="4" customWidth="1"/>
    <col min="4" max="4" width="12.625" style="4" hidden="1" customWidth="1"/>
    <col min="5" max="5" width="20.375" style="4" customWidth="1"/>
    <col min="6" max="6" width="19.375" style="5" customWidth="1"/>
    <col min="7" max="8" width="14.75390625" style="6" customWidth="1"/>
    <col min="9" max="9" width="16.625" style="6" hidden="1" customWidth="1"/>
    <col min="10" max="10" width="14.375" style="6" hidden="1" customWidth="1"/>
    <col min="11" max="11" width="18.25390625" style="5" customWidth="1"/>
    <col min="12" max="12" width="17.75390625" style="5" bestFit="1" customWidth="1"/>
    <col min="13" max="16384" width="9.125" style="5" customWidth="1"/>
  </cols>
  <sheetData>
    <row r="1" spans="2:11" ht="21.75" customHeight="1">
      <c r="B1" s="3"/>
      <c r="I1" s="7"/>
      <c r="J1" s="8"/>
      <c r="K1" s="9"/>
    </row>
    <row r="2" spans="2:12" s="10" customFormat="1" ht="24" customHeight="1" thickBot="1">
      <c r="B2" s="99" t="s">
        <v>77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12" customFormat="1" ht="157.5" customHeight="1">
      <c r="B3" s="65"/>
      <c r="C3" s="66" t="s">
        <v>70</v>
      </c>
      <c r="D3" s="66"/>
      <c r="E3" s="66" t="s">
        <v>61</v>
      </c>
      <c r="F3" s="67" t="s">
        <v>60</v>
      </c>
      <c r="G3" s="68" t="s">
        <v>55</v>
      </c>
      <c r="H3" s="68" t="s">
        <v>56</v>
      </c>
      <c r="I3" s="68"/>
      <c r="J3" s="68"/>
      <c r="K3" s="68" t="s">
        <v>62</v>
      </c>
      <c r="L3" s="69" t="s">
        <v>63</v>
      </c>
    </row>
    <row r="4" spans="2:12" s="12" customFormat="1" ht="15.75" customHeight="1">
      <c r="B4" s="70">
        <v>1</v>
      </c>
      <c r="C4" s="11">
        <v>2</v>
      </c>
      <c r="D4" s="11"/>
      <c r="E4" s="11">
        <v>3</v>
      </c>
      <c r="F4" s="11">
        <v>4</v>
      </c>
      <c r="G4" s="1" t="s">
        <v>64</v>
      </c>
      <c r="H4" s="1" t="s">
        <v>65</v>
      </c>
      <c r="I4" s="1"/>
      <c r="J4" s="1"/>
      <c r="K4" s="2" t="s">
        <v>66</v>
      </c>
      <c r="L4" s="71" t="s">
        <v>67</v>
      </c>
    </row>
    <row r="5" spans="2:12" s="12" customFormat="1" ht="26.25" customHeight="1">
      <c r="B5" s="97" t="s">
        <v>0</v>
      </c>
      <c r="C5" s="98"/>
      <c r="D5" s="98"/>
      <c r="E5" s="98"/>
      <c r="F5" s="98"/>
      <c r="G5" s="98"/>
      <c r="H5" s="98"/>
      <c r="I5" s="98"/>
      <c r="J5" s="98"/>
      <c r="K5" s="2"/>
      <c r="L5" s="71"/>
    </row>
    <row r="6" spans="2:12" ht="21" customHeight="1">
      <c r="B6" s="72" t="s">
        <v>68</v>
      </c>
      <c r="C6" s="26">
        <f>69702.4+3077</f>
        <v>72779.4</v>
      </c>
      <c r="D6" s="26"/>
      <c r="E6" s="26">
        <v>71465.7</v>
      </c>
      <c r="F6" s="26">
        <v>77681.2</v>
      </c>
      <c r="G6" s="20">
        <f>F6-C6</f>
        <v>4901.800000000003</v>
      </c>
      <c r="H6" s="20">
        <f>F6/C6*100</f>
        <v>106.73514758296992</v>
      </c>
      <c r="I6" s="20"/>
      <c r="J6" s="20"/>
      <c r="K6" s="20">
        <f>F6-E6</f>
        <v>6215.5</v>
      </c>
      <c r="L6" s="59">
        <f>F6/E6*100</f>
        <v>108.69717920624859</v>
      </c>
    </row>
    <row r="7" spans="2:12" s="15" customFormat="1" ht="30" customHeight="1">
      <c r="B7" s="73" t="s">
        <v>3</v>
      </c>
      <c r="C7" s="27">
        <f>C8+C9+C11+C13+C16+C25+C32</f>
        <v>352595.5</v>
      </c>
      <c r="D7" s="27">
        <f>D8+D9+D11+D13+D16+D25+D32</f>
        <v>59.5</v>
      </c>
      <c r="E7" s="27">
        <f>E8+E9+E11+E13+E16+E25+E32</f>
        <v>330902.5</v>
      </c>
      <c r="F7" s="27">
        <f>F8+F9+F11+F13+F16+F25+F32</f>
        <v>355314.30000000005</v>
      </c>
      <c r="G7" s="20">
        <f aca="true" t="shared" si="0" ref="G7:G37">F7-C7</f>
        <v>2718.8000000000466</v>
      </c>
      <c r="H7" s="20">
        <f aca="true" t="shared" si="1" ref="H7:H37">F7/C7*100</f>
        <v>100.77108187710849</v>
      </c>
      <c r="I7" s="20"/>
      <c r="J7" s="20"/>
      <c r="K7" s="20">
        <f aca="true" t="shared" si="2" ref="K7:K37">F7-E7</f>
        <v>24411.800000000047</v>
      </c>
      <c r="L7" s="59">
        <f aca="true" t="shared" si="3" ref="L7:L37">F7/E7*100</f>
        <v>107.37733924645478</v>
      </c>
    </row>
    <row r="8" spans="2:12" ht="18.75">
      <c r="B8" s="74" t="s">
        <v>11</v>
      </c>
      <c r="C8" s="14">
        <v>8634.8</v>
      </c>
      <c r="D8" s="14"/>
      <c r="E8" s="14">
        <v>7915.2</v>
      </c>
      <c r="F8" s="14">
        <v>13887.3</v>
      </c>
      <c r="G8" s="20">
        <f t="shared" si="0"/>
        <v>5252.5</v>
      </c>
      <c r="H8" s="20">
        <f t="shared" si="1"/>
        <v>160.82943438180385</v>
      </c>
      <c r="I8" s="20"/>
      <c r="J8" s="20"/>
      <c r="K8" s="20">
        <f t="shared" si="2"/>
        <v>5972.099999999999</v>
      </c>
      <c r="L8" s="59">
        <f t="shared" si="3"/>
        <v>175.45103092783506</v>
      </c>
    </row>
    <row r="9" spans="2:12" ht="75">
      <c r="B9" s="74" t="s">
        <v>12</v>
      </c>
      <c r="C9" s="14">
        <f>27989.6-81.2</f>
        <v>27908.399999999998</v>
      </c>
      <c r="D9" s="14"/>
      <c r="E9" s="14">
        <v>25411.9</v>
      </c>
      <c r="F9" s="14"/>
      <c r="G9" s="20">
        <f t="shared" si="0"/>
        <v>-27908.399999999998</v>
      </c>
      <c r="H9" s="20">
        <f t="shared" si="1"/>
        <v>0</v>
      </c>
      <c r="I9" s="20"/>
      <c r="J9" s="20"/>
      <c r="K9" s="20">
        <f t="shared" si="2"/>
        <v>-25411.9</v>
      </c>
      <c r="L9" s="59">
        <f t="shared" si="3"/>
        <v>0</v>
      </c>
    </row>
    <row r="10" spans="2:12" ht="18.75">
      <c r="B10" s="75" t="s">
        <v>57</v>
      </c>
      <c r="C10" s="28">
        <v>4170.7</v>
      </c>
      <c r="D10" s="28"/>
      <c r="E10" s="28">
        <v>3578</v>
      </c>
      <c r="F10" s="28"/>
      <c r="G10" s="20">
        <f t="shared" si="0"/>
        <v>-4170.7</v>
      </c>
      <c r="H10" s="20">
        <f t="shared" si="1"/>
        <v>0</v>
      </c>
      <c r="I10" s="20"/>
      <c r="J10" s="20"/>
      <c r="K10" s="20">
        <f t="shared" si="2"/>
        <v>-3578</v>
      </c>
      <c r="L10" s="59">
        <f t="shared" si="3"/>
        <v>0</v>
      </c>
    </row>
    <row r="11" spans="2:13" ht="18.75">
      <c r="B11" s="74" t="s">
        <v>13</v>
      </c>
      <c r="C11" s="14">
        <v>50998.7</v>
      </c>
      <c r="D11" s="14"/>
      <c r="E11" s="14">
        <v>46901.9</v>
      </c>
      <c r="F11" s="14">
        <v>55601.4</v>
      </c>
      <c r="G11" s="20">
        <f t="shared" si="0"/>
        <v>4602.700000000004</v>
      </c>
      <c r="H11" s="20">
        <f t="shared" si="1"/>
        <v>109.02513201316897</v>
      </c>
      <c r="I11" s="20"/>
      <c r="J11" s="20"/>
      <c r="K11" s="20">
        <f t="shared" si="2"/>
        <v>8699.5</v>
      </c>
      <c r="L11" s="59">
        <f t="shared" si="3"/>
        <v>118.54828908850175</v>
      </c>
      <c r="M11" s="56">
        <f>F11-F12+F13-F14-F15+F16</f>
        <v>301810.5</v>
      </c>
    </row>
    <row r="12" spans="2:12" ht="18.75">
      <c r="B12" s="75" t="s">
        <v>57</v>
      </c>
      <c r="C12" s="28">
        <v>2093.5</v>
      </c>
      <c r="D12" s="88"/>
      <c r="E12" s="89">
        <v>2057.5</v>
      </c>
      <c r="F12" s="28">
        <v>621.2</v>
      </c>
      <c r="G12" s="20">
        <f t="shared" si="0"/>
        <v>-1472.3</v>
      </c>
      <c r="H12" s="20">
        <f t="shared" si="1"/>
        <v>29.67279675185097</v>
      </c>
      <c r="I12" s="20"/>
      <c r="J12" s="20"/>
      <c r="K12" s="20">
        <f t="shared" si="2"/>
        <v>-1436.3</v>
      </c>
      <c r="L12" s="59">
        <f t="shared" si="3"/>
        <v>30.19198055893074</v>
      </c>
    </row>
    <row r="13" spans="2:12" s="16" customFormat="1" ht="18.75">
      <c r="B13" s="74" t="s">
        <v>14</v>
      </c>
      <c r="C13" s="14">
        <v>41665.5</v>
      </c>
      <c r="D13" s="90"/>
      <c r="E13" s="14">
        <v>38193.2</v>
      </c>
      <c r="F13" s="14">
        <v>42048.7</v>
      </c>
      <c r="G13" s="20">
        <f t="shared" si="0"/>
        <v>383.1999999999971</v>
      </c>
      <c r="H13" s="20">
        <f t="shared" si="1"/>
        <v>100.91970575176103</v>
      </c>
      <c r="I13" s="20"/>
      <c r="J13" s="20"/>
      <c r="K13" s="20">
        <f t="shared" si="2"/>
        <v>3855.5</v>
      </c>
      <c r="L13" s="59">
        <f t="shared" si="3"/>
        <v>110.09472890462177</v>
      </c>
    </row>
    <row r="14" spans="2:12" ht="18.75">
      <c r="B14" s="75" t="s">
        <v>57</v>
      </c>
      <c r="C14" s="28">
        <v>14646.1</v>
      </c>
      <c r="D14" s="28"/>
      <c r="E14" s="28">
        <v>13425.5</v>
      </c>
      <c r="F14" s="28">
        <v>16704.7</v>
      </c>
      <c r="G14" s="20">
        <f t="shared" si="0"/>
        <v>2058.6000000000004</v>
      </c>
      <c r="H14" s="20">
        <f t="shared" si="1"/>
        <v>114.05561890196026</v>
      </c>
      <c r="I14" s="20"/>
      <c r="J14" s="20"/>
      <c r="K14" s="20">
        <f t="shared" si="2"/>
        <v>3279.2000000000007</v>
      </c>
      <c r="L14" s="59">
        <f t="shared" si="3"/>
        <v>124.42516107407546</v>
      </c>
    </row>
    <row r="15" spans="2:12" ht="37.5">
      <c r="B15" s="75" t="s">
        <v>2</v>
      </c>
      <c r="C15" s="28">
        <v>814.6</v>
      </c>
      <c r="D15" s="28"/>
      <c r="E15" s="28">
        <v>746.9</v>
      </c>
      <c r="F15" s="28">
        <v>917.5</v>
      </c>
      <c r="G15" s="20">
        <f t="shared" si="0"/>
        <v>102.89999999999998</v>
      </c>
      <c r="H15" s="20">
        <f t="shared" si="1"/>
        <v>112.63196660937884</v>
      </c>
      <c r="I15" s="20"/>
      <c r="J15" s="20"/>
      <c r="K15" s="20">
        <f t="shared" si="2"/>
        <v>170.60000000000002</v>
      </c>
      <c r="L15" s="59">
        <f t="shared" si="3"/>
        <v>122.84107644932388</v>
      </c>
    </row>
    <row r="16" spans="2:12" s="16" customFormat="1" ht="40.5" customHeight="1">
      <c r="B16" s="74" t="s">
        <v>15</v>
      </c>
      <c r="C16" s="54">
        <f>SUM(C17:C24)</f>
        <v>190025.5</v>
      </c>
      <c r="D16" s="54">
        <f>SUM(D17:D24)</f>
        <v>0</v>
      </c>
      <c r="E16" s="54">
        <f>SUM(E17:E24)</f>
        <v>180829.8</v>
      </c>
      <c r="F16" s="54">
        <f>SUM(F17:F24)</f>
        <v>222403.80000000002</v>
      </c>
      <c r="G16" s="20">
        <f t="shared" si="0"/>
        <v>32378.300000000017</v>
      </c>
      <c r="H16" s="20">
        <f t="shared" si="1"/>
        <v>117.03892372339502</v>
      </c>
      <c r="I16" s="20"/>
      <c r="J16" s="20"/>
      <c r="K16" s="20">
        <f t="shared" si="2"/>
        <v>41574.00000000003</v>
      </c>
      <c r="L16" s="59">
        <f t="shared" si="3"/>
        <v>122.99067963355598</v>
      </c>
    </row>
    <row r="17" spans="1:12" ht="72" customHeight="1">
      <c r="A17" s="5">
        <v>41030600</v>
      </c>
      <c r="B17" s="23" t="s">
        <v>4</v>
      </c>
      <c r="C17" s="18">
        <v>64518</v>
      </c>
      <c r="D17" s="18"/>
      <c r="E17" s="18">
        <v>57689.8</v>
      </c>
      <c r="F17" s="28">
        <v>72650.6</v>
      </c>
      <c r="G17" s="20">
        <f t="shared" si="0"/>
        <v>8132.600000000006</v>
      </c>
      <c r="H17" s="20">
        <f t="shared" si="1"/>
        <v>112.60516445023094</v>
      </c>
      <c r="I17" s="20"/>
      <c r="J17" s="20"/>
      <c r="K17" s="20">
        <f t="shared" si="2"/>
        <v>14960.800000000003</v>
      </c>
      <c r="L17" s="59">
        <f t="shared" si="3"/>
        <v>125.93318056224845</v>
      </c>
    </row>
    <row r="18" spans="1:12" ht="86.25" customHeight="1">
      <c r="A18" s="5">
        <v>41030800</v>
      </c>
      <c r="B18" s="23" t="s">
        <v>5</v>
      </c>
      <c r="C18" s="18">
        <f>111118.2+79.6</f>
        <v>111197.8</v>
      </c>
      <c r="D18" s="18"/>
      <c r="E18" s="18">
        <v>111118.2</v>
      </c>
      <c r="F18" s="28">
        <v>140365.5</v>
      </c>
      <c r="G18" s="20">
        <f t="shared" si="0"/>
        <v>29167.699999999997</v>
      </c>
      <c r="H18" s="20">
        <f t="shared" si="1"/>
        <v>126.23046499121384</v>
      </c>
      <c r="I18" s="20"/>
      <c r="J18" s="20"/>
      <c r="K18" s="20">
        <f t="shared" si="2"/>
        <v>29247.300000000003</v>
      </c>
      <c r="L18" s="59">
        <f t="shared" si="3"/>
        <v>126.32089072717162</v>
      </c>
    </row>
    <row r="19" spans="1:12" ht="50.25" customHeight="1">
      <c r="A19" s="5">
        <v>41031000</v>
      </c>
      <c r="B19" s="23" t="s">
        <v>6</v>
      </c>
      <c r="C19" s="18">
        <f>6661.6+71</f>
        <v>6732.6</v>
      </c>
      <c r="D19" s="18"/>
      <c r="E19" s="18">
        <v>4783.6</v>
      </c>
      <c r="F19" s="28">
        <v>6396.5</v>
      </c>
      <c r="G19" s="20">
        <f t="shared" si="0"/>
        <v>-336.10000000000036</v>
      </c>
      <c r="H19" s="20">
        <f t="shared" si="1"/>
        <v>95.00787214449097</v>
      </c>
      <c r="I19" s="20"/>
      <c r="J19" s="20"/>
      <c r="K19" s="20">
        <f t="shared" si="2"/>
        <v>1612.8999999999996</v>
      </c>
      <c r="L19" s="59">
        <f t="shared" si="3"/>
        <v>133.71728405385065</v>
      </c>
    </row>
    <row r="20" spans="2:12" ht="26.25" customHeight="1">
      <c r="B20" s="23" t="s">
        <v>47</v>
      </c>
      <c r="C20" s="18">
        <v>1075</v>
      </c>
      <c r="D20" s="18"/>
      <c r="E20" s="18">
        <v>1000</v>
      </c>
      <c r="F20" s="28">
        <v>1400</v>
      </c>
      <c r="G20" s="20">
        <f t="shared" si="0"/>
        <v>325</v>
      </c>
      <c r="H20" s="20">
        <f t="shared" si="1"/>
        <v>130.2325581395349</v>
      </c>
      <c r="I20" s="20"/>
      <c r="J20" s="20"/>
      <c r="K20" s="20">
        <f t="shared" si="2"/>
        <v>400</v>
      </c>
      <c r="L20" s="59">
        <f t="shared" si="3"/>
        <v>140</v>
      </c>
    </row>
    <row r="21" spans="1:12" ht="92.25" customHeight="1">
      <c r="A21" s="5">
        <v>41035800</v>
      </c>
      <c r="B21" s="23" t="s">
        <v>7</v>
      </c>
      <c r="C21" s="18">
        <v>1449.9</v>
      </c>
      <c r="D21" s="18"/>
      <c r="E21" s="18">
        <v>1193.8</v>
      </c>
      <c r="F21" s="28">
        <v>1591.2</v>
      </c>
      <c r="G21" s="20">
        <f t="shared" si="0"/>
        <v>141.29999999999995</v>
      </c>
      <c r="H21" s="20">
        <f t="shared" si="1"/>
        <v>109.74549968963376</v>
      </c>
      <c r="I21" s="20"/>
      <c r="J21" s="20"/>
      <c r="K21" s="20">
        <f t="shared" si="2"/>
        <v>397.4000000000001</v>
      </c>
      <c r="L21" s="59">
        <f t="shared" si="3"/>
        <v>133.28865806667784</v>
      </c>
    </row>
    <row r="22" spans="2:12" ht="31.5">
      <c r="B22" s="23" t="s">
        <v>49</v>
      </c>
      <c r="C22" s="47">
        <v>4547</v>
      </c>
      <c r="D22" s="47"/>
      <c r="E22" s="47">
        <v>4547</v>
      </c>
      <c r="F22" s="47"/>
      <c r="G22" s="20">
        <f t="shared" si="0"/>
        <v>-4547</v>
      </c>
      <c r="H22" s="20">
        <f t="shared" si="1"/>
        <v>0</v>
      </c>
      <c r="I22" s="20"/>
      <c r="J22" s="20"/>
      <c r="K22" s="20">
        <f t="shared" si="2"/>
        <v>-4547</v>
      </c>
      <c r="L22" s="59">
        <f t="shared" si="3"/>
        <v>0</v>
      </c>
    </row>
    <row r="23" spans="2:12" ht="31.5">
      <c r="B23" s="23" t="s">
        <v>50</v>
      </c>
      <c r="C23" s="47">
        <v>45</v>
      </c>
      <c r="D23" s="47"/>
      <c r="E23" s="47">
        <v>41.4</v>
      </c>
      <c r="F23" s="47"/>
      <c r="G23" s="20">
        <f t="shared" si="0"/>
        <v>-45</v>
      </c>
      <c r="H23" s="20">
        <f t="shared" si="1"/>
        <v>0</v>
      </c>
      <c r="I23" s="20"/>
      <c r="J23" s="20"/>
      <c r="K23" s="20">
        <f t="shared" si="2"/>
        <v>-41.4</v>
      </c>
      <c r="L23" s="59">
        <f t="shared" si="3"/>
        <v>0</v>
      </c>
    </row>
    <row r="24" spans="2:12" ht="32.25" thickBot="1">
      <c r="B24" s="24" t="s">
        <v>51</v>
      </c>
      <c r="C24" s="25">
        <v>460.2</v>
      </c>
      <c r="D24" s="25"/>
      <c r="E24" s="25">
        <v>456</v>
      </c>
      <c r="F24" s="25"/>
      <c r="G24" s="52">
        <f t="shared" si="0"/>
        <v>-460.2</v>
      </c>
      <c r="H24" s="52">
        <f t="shared" si="1"/>
        <v>0</v>
      </c>
      <c r="I24" s="52"/>
      <c r="J24" s="52"/>
      <c r="K24" s="52">
        <f t="shared" si="2"/>
        <v>-456</v>
      </c>
      <c r="L24" s="60">
        <f t="shared" si="3"/>
        <v>0</v>
      </c>
    </row>
    <row r="25" spans="2:12" s="19" customFormat="1" ht="43.5" customHeight="1">
      <c r="B25" s="22" t="s">
        <v>10</v>
      </c>
      <c r="C25" s="55">
        <f>SUM(C26:C31)</f>
        <v>22302.3</v>
      </c>
      <c r="D25" s="55">
        <f>SUM(D26:D31)</f>
        <v>59.5</v>
      </c>
      <c r="E25" s="55">
        <f>SUM(E26:E31)</f>
        <v>20925.2</v>
      </c>
      <c r="F25" s="55">
        <f>SUM(F26:F31)</f>
        <v>10695.7</v>
      </c>
      <c r="G25" s="50">
        <f t="shared" si="0"/>
        <v>-11606.599999999999</v>
      </c>
      <c r="H25" s="50">
        <f t="shared" si="1"/>
        <v>47.957833945377836</v>
      </c>
      <c r="I25" s="50"/>
      <c r="J25" s="50"/>
      <c r="K25" s="50">
        <f t="shared" si="2"/>
        <v>-10229.5</v>
      </c>
      <c r="L25" s="58">
        <f t="shared" si="3"/>
        <v>51.113967847380195</v>
      </c>
    </row>
    <row r="26" spans="2:12" ht="47.25">
      <c r="B26" s="23" t="s">
        <v>8</v>
      </c>
      <c r="C26" s="89">
        <v>422.8</v>
      </c>
      <c r="D26" s="89"/>
      <c r="E26" s="89">
        <v>387.7</v>
      </c>
      <c r="F26" s="48">
        <v>428.8</v>
      </c>
      <c r="G26" s="20">
        <f t="shared" si="0"/>
        <v>6</v>
      </c>
      <c r="H26" s="20">
        <f t="shared" si="1"/>
        <v>101.41911069063387</v>
      </c>
      <c r="I26" s="20"/>
      <c r="J26" s="20"/>
      <c r="K26" s="20">
        <f t="shared" si="2"/>
        <v>41.10000000000002</v>
      </c>
      <c r="L26" s="59">
        <f t="shared" si="3"/>
        <v>110.60098013928297</v>
      </c>
    </row>
    <row r="27" spans="2:12" ht="18.75">
      <c r="B27" s="23" t="s">
        <v>9</v>
      </c>
      <c r="C27" s="89">
        <v>40</v>
      </c>
      <c r="D27" s="89"/>
      <c r="E27" s="89">
        <v>0</v>
      </c>
      <c r="F27" s="28">
        <v>14.3</v>
      </c>
      <c r="G27" s="20">
        <f t="shared" si="0"/>
        <v>-25.7</v>
      </c>
      <c r="H27" s="20">
        <f t="shared" si="1"/>
        <v>35.75000000000001</v>
      </c>
      <c r="I27" s="20"/>
      <c r="J27" s="20"/>
      <c r="K27" s="20">
        <f t="shared" si="2"/>
        <v>14.3</v>
      </c>
      <c r="L27" s="59" t="e">
        <f t="shared" si="3"/>
        <v>#DIV/0!</v>
      </c>
    </row>
    <row r="28" spans="2:12" ht="36" customHeight="1">
      <c r="B28" s="23" t="s">
        <v>48</v>
      </c>
      <c r="C28" s="89">
        <v>94.5</v>
      </c>
      <c r="D28" s="89"/>
      <c r="E28" s="89">
        <v>94.5</v>
      </c>
      <c r="F28" s="28"/>
      <c r="G28" s="20">
        <f t="shared" si="0"/>
        <v>-94.5</v>
      </c>
      <c r="H28" s="20">
        <f t="shared" si="1"/>
        <v>0</v>
      </c>
      <c r="I28" s="20"/>
      <c r="J28" s="20"/>
      <c r="K28" s="20">
        <f t="shared" si="2"/>
        <v>-94.5</v>
      </c>
      <c r="L28" s="59">
        <f t="shared" si="3"/>
        <v>0</v>
      </c>
    </row>
    <row r="29" spans="2:12" ht="36" customHeight="1">
      <c r="B29" s="23" t="s">
        <v>52</v>
      </c>
      <c r="C29" s="89">
        <v>59.5</v>
      </c>
      <c r="D29" s="89">
        <v>59.5</v>
      </c>
      <c r="E29" s="89">
        <v>59.5</v>
      </c>
      <c r="F29" s="28"/>
      <c r="G29" s="20">
        <f t="shared" si="0"/>
        <v>-59.5</v>
      </c>
      <c r="H29" s="20">
        <f t="shared" si="1"/>
        <v>0</v>
      </c>
      <c r="I29" s="20"/>
      <c r="J29" s="20"/>
      <c r="K29" s="20">
        <f t="shared" si="2"/>
        <v>-59.5</v>
      </c>
      <c r="L29" s="59">
        <f t="shared" si="3"/>
        <v>0</v>
      </c>
    </row>
    <row r="30" spans="2:12" ht="18.75">
      <c r="B30" s="23" t="s">
        <v>59</v>
      </c>
      <c r="C30" s="89">
        <f>19585.2+68.7</f>
        <v>19653.9</v>
      </c>
      <c r="D30" s="89"/>
      <c r="E30" s="89">
        <v>18377.9</v>
      </c>
      <c r="F30" s="28">
        <v>7556.9</v>
      </c>
      <c r="G30" s="20">
        <f t="shared" si="0"/>
        <v>-12097.000000000002</v>
      </c>
      <c r="H30" s="20">
        <f t="shared" si="1"/>
        <v>38.44987508840484</v>
      </c>
      <c r="I30" s="20"/>
      <c r="J30" s="20"/>
      <c r="K30" s="20">
        <f t="shared" si="2"/>
        <v>-10821.000000000002</v>
      </c>
      <c r="L30" s="59">
        <f t="shared" si="3"/>
        <v>41.11949678690166</v>
      </c>
    </row>
    <row r="31" spans="2:12" ht="19.5" thickBot="1">
      <c r="B31" s="49" t="s">
        <v>53</v>
      </c>
      <c r="C31" s="91">
        <v>2031.6</v>
      </c>
      <c r="D31" s="91"/>
      <c r="E31" s="91">
        <v>2005.6</v>
      </c>
      <c r="F31" s="46">
        <v>2695.7</v>
      </c>
      <c r="G31" s="52">
        <f t="shared" si="0"/>
        <v>664.0999999999999</v>
      </c>
      <c r="H31" s="52">
        <f t="shared" si="1"/>
        <v>132.68852136247293</v>
      </c>
      <c r="I31" s="52"/>
      <c r="J31" s="52"/>
      <c r="K31" s="52">
        <f t="shared" si="2"/>
        <v>690.0999999999999</v>
      </c>
      <c r="L31" s="60">
        <f t="shared" si="3"/>
        <v>134.4086557638612</v>
      </c>
    </row>
    <row r="32" spans="2:12" s="19" customFormat="1" ht="43.5" customHeight="1">
      <c r="B32" s="22" t="s">
        <v>44</v>
      </c>
      <c r="C32" s="92">
        <f>SUM(C33:C36)</f>
        <v>11060.300000000001</v>
      </c>
      <c r="D32" s="92">
        <f>SUM(D33:D36)</f>
        <v>0</v>
      </c>
      <c r="E32" s="92">
        <f>SUM(E33:E36)</f>
        <v>10725.3</v>
      </c>
      <c r="F32" s="55">
        <f>SUM(F33:F36)</f>
        <v>10677.4</v>
      </c>
      <c r="G32" s="50">
        <f t="shared" si="0"/>
        <v>-382.90000000000146</v>
      </c>
      <c r="H32" s="50">
        <f t="shared" si="1"/>
        <v>96.53806858765131</v>
      </c>
      <c r="I32" s="50"/>
      <c r="J32" s="50"/>
      <c r="K32" s="50">
        <f t="shared" si="2"/>
        <v>-47.899999999999636</v>
      </c>
      <c r="L32" s="58">
        <f t="shared" si="3"/>
        <v>99.55339244589895</v>
      </c>
    </row>
    <row r="33" spans="2:12" s="19" customFormat="1" ht="18" customHeight="1">
      <c r="B33" s="23" t="s">
        <v>52</v>
      </c>
      <c r="C33" s="93">
        <v>67.5</v>
      </c>
      <c r="D33" s="93"/>
      <c r="E33" s="93">
        <v>67.5</v>
      </c>
      <c r="F33" s="14"/>
      <c r="G33" s="20">
        <f t="shared" si="0"/>
        <v>-67.5</v>
      </c>
      <c r="H33" s="20">
        <f t="shared" si="1"/>
        <v>0</v>
      </c>
      <c r="I33" s="20"/>
      <c r="J33" s="20"/>
      <c r="K33" s="20">
        <f t="shared" si="2"/>
        <v>-67.5</v>
      </c>
      <c r="L33" s="59">
        <f t="shared" si="3"/>
        <v>0</v>
      </c>
    </row>
    <row r="34" spans="2:12" s="19" customFormat="1" ht="18" customHeight="1">
      <c r="B34" s="23" t="s">
        <v>69</v>
      </c>
      <c r="C34" s="94">
        <v>32.6</v>
      </c>
      <c r="D34" s="94"/>
      <c r="E34" s="94"/>
      <c r="F34" s="53"/>
      <c r="G34" s="20">
        <f t="shared" si="0"/>
        <v>-32.6</v>
      </c>
      <c r="H34" s="20">
        <f t="shared" si="1"/>
        <v>0</v>
      </c>
      <c r="I34" s="20"/>
      <c r="J34" s="20"/>
      <c r="K34" s="20"/>
      <c r="L34" s="59"/>
    </row>
    <row r="35" spans="2:12" s="21" customFormat="1" ht="18" customHeight="1">
      <c r="B35" s="23" t="s">
        <v>54</v>
      </c>
      <c r="C35" s="95">
        <v>128</v>
      </c>
      <c r="D35" s="95"/>
      <c r="E35" s="95">
        <v>127.4</v>
      </c>
      <c r="F35" s="53">
        <v>50</v>
      </c>
      <c r="G35" s="20">
        <f t="shared" si="0"/>
        <v>-78</v>
      </c>
      <c r="H35" s="20">
        <f t="shared" si="1"/>
        <v>39.0625</v>
      </c>
      <c r="I35" s="20"/>
      <c r="J35" s="20"/>
      <c r="K35" s="20">
        <f t="shared" si="2"/>
        <v>-77.4</v>
      </c>
      <c r="L35" s="59">
        <f t="shared" si="3"/>
        <v>39.24646781789639</v>
      </c>
    </row>
    <row r="36" spans="2:12" s="19" customFormat="1" ht="18" customHeight="1" thickBot="1">
      <c r="B36" s="24" t="s">
        <v>58</v>
      </c>
      <c r="C36" s="57">
        <f>10852.2-20</f>
        <v>10832.2</v>
      </c>
      <c r="D36" s="57"/>
      <c r="E36" s="57">
        <v>10530.4</v>
      </c>
      <c r="F36" s="51">
        <v>10627.4</v>
      </c>
      <c r="G36" s="52">
        <f t="shared" si="0"/>
        <v>-204.8000000000011</v>
      </c>
      <c r="H36" s="52">
        <f t="shared" si="1"/>
        <v>98.1093406694854</v>
      </c>
      <c r="I36" s="52"/>
      <c r="J36" s="52"/>
      <c r="K36" s="52">
        <f t="shared" si="2"/>
        <v>97</v>
      </c>
      <c r="L36" s="60">
        <f t="shared" si="3"/>
        <v>100.92114259667248</v>
      </c>
    </row>
    <row r="37" spans="2:16" ht="21" thickBot="1">
      <c r="B37" s="61" t="s">
        <v>1</v>
      </c>
      <c r="C37" s="62">
        <f>C7+C6</f>
        <v>425374.9</v>
      </c>
      <c r="D37" s="62">
        <f>D7+D6</f>
        <v>59.5</v>
      </c>
      <c r="E37" s="62">
        <f>E7+E6</f>
        <v>402368.2</v>
      </c>
      <c r="F37" s="62">
        <f>F7+F6</f>
        <v>432995.50000000006</v>
      </c>
      <c r="G37" s="63">
        <f t="shared" si="0"/>
        <v>7620.600000000035</v>
      </c>
      <c r="H37" s="63">
        <f t="shared" si="1"/>
        <v>101.79150203737927</v>
      </c>
      <c r="I37" s="63"/>
      <c r="J37" s="63"/>
      <c r="K37" s="63">
        <f t="shared" si="2"/>
        <v>30627.300000000047</v>
      </c>
      <c r="L37" s="64">
        <f t="shared" si="3"/>
        <v>107.61175957742188</v>
      </c>
      <c r="M37" s="29"/>
      <c r="N37" s="29"/>
      <c r="O37" s="29"/>
      <c r="P37" s="29"/>
    </row>
    <row r="38" spans="2:16" ht="22.5">
      <c r="B38" s="100" t="s">
        <v>16</v>
      </c>
      <c r="C38" s="101"/>
      <c r="D38" s="101"/>
      <c r="E38" s="101"/>
      <c r="F38" s="101"/>
      <c r="G38" s="102"/>
      <c r="H38" s="102"/>
      <c r="I38" s="101"/>
      <c r="J38" s="101"/>
      <c r="K38" s="76"/>
      <c r="L38" s="77"/>
      <c r="M38" s="29"/>
      <c r="N38" s="29"/>
      <c r="O38" s="29"/>
      <c r="P38" s="29"/>
    </row>
    <row r="39" spans="2:16" ht="20.25">
      <c r="B39" s="30" t="s">
        <v>17</v>
      </c>
      <c r="C39" s="32">
        <f>20917.4-668.9</f>
        <v>20248.5</v>
      </c>
      <c r="D39" s="31">
        <v>17008.4</v>
      </c>
      <c r="E39" s="32">
        <f>17598.7-605.7</f>
        <v>16993</v>
      </c>
      <c r="F39" s="83">
        <v>20791.467</v>
      </c>
      <c r="G39" s="20">
        <f aca="true" t="shared" si="4" ref="G39:G72">F39-C39</f>
        <v>542.9670000000006</v>
      </c>
      <c r="H39" s="20">
        <f aca="true" t="shared" si="5" ref="H39:H72">F39/C39*100</f>
        <v>102.68151714941848</v>
      </c>
      <c r="I39" s="86" t="e">
        <f>#REF!-D39</f>
        <v>#REF!</v>
      </c>
      <c r="J39" s="41" t="e">
        <f>#REF!/D39%</f>
        <v>#REF!</v>
      </c>
      <c r="K39" s="20">
        <f aca="true" t="shared" si="6" ref="K39:K72">F39-E39</f>
        <v>3798.4670000000006</v>
      </c>
      <c r="L39" s="59">
        <f aca="true" t="shared" si="7" ref="L39:L72">F39/E39*100</f>
        <v>122.3531277584888</v>
      </c>
      <c r="M39" s="29"/>
      <c r="N39" s="29"/>
      <c r="O39" s="29"/>
      <c r="P39" s="29"/>
    </row>
    <row r="40" spans="2:16" ht="20.25">
      <c r="B40" s="30" t="s">
        <v>18</v>
      </c>
      <c r="C40" s="32">
        <v>361.489</v>
      </c>
      <c r="D40" s="31"/>
      <c r="E40" s="32">
        <v>261.6</v>
      </c>
      <c r="F40" s="83">
        <v>475</v>
      </c>
      <c r="G40" s="20">
        <f t="shared" si="4"/>
        <v>113.51100000000002</v>
      </c>
      <c r="H40" s="20">
        <f t="shared" si="5"/>
        <v>131.40095549242164</v>
      </c>
      <c r="I40" s="86" t="e">
        <f>#REF!-D40</f>
        <v>#REF!</v>
      </c>
      <c r="J40" s="41"/>
      <c r="K40" s="20">
        <f t="shared" si="6"/>
        <v>213.39999999999998</v>
      </c>
      <c r="L40" s="59">
        <f t="shared" si="7"/>
        <v>181.5749235474006</v>
      </c>
      <c r="M40" s="29"/>
      <c r="N40" s="29"/>
      <c r="O40" s="29"/>
      <c r="P40" s="29"/>
    </row>
    <row r="41" spans="2:16" ht="20.25">
      <c r="B41" s="30" t="s">
        <v>19</v>
      </c>
      <c r="C41" s="32">
        <f>108167.3-1269.5</f>
        <v>106897.8</v>
      </c>
      <c r="D41" s="31">
        <v>90075.6</v>
      </c>
      <c r="E41" s="32">
        <f>91565.1-1127.2</f>
        <v>90437.90000000001</v>
      </c>
      <c r="F41" s="83">
        <v>91091.5</v>
      </c>
      <c r="G41" s="20">
        <f t="shared" si="4"/>
        <v>-15806.300000000003</v>
      </c>
      <c r="H41" s="20">
        <f t="shared" si="5"/>
        <v>85.2136339569196</v>
      </c>
      <c r="I41" s="86" t="e">
        <f>#REF!-D41</f>
        <v>#REF!</v>
      </c>
      <c r="J41" s="41" t="e">
        <f>#REF!/D41%</f>
        <v>#REF!</v>
      </c>
      <c r="K41" s="20">
        <f t="shared" si="6"/>
        <v>653.5999999999913</v>
      </c>
      <c r="L41" s="59">
        <f t="shared" si="7"/>
        <v>100.72270585672598</v>
      </c>
      <c r="M41" s="29"/>
      <c r="N41" s="29"/>
      <c r="O41" s="29"/>
      <c r="P41" s="29"/>
    </row>
    <row r="42" spans="2:16" ht="20.25">
      <c r="B42" s="30" t="s">
        <v>20</v>
      </c>
      <c r="C42" s="32">
        <v>70584.6</v>
      </c>
      <c r="D42" s="32">
        <v>47598.5</v>
      </c>
      <c r="E42" s="32">
        <v>62272.1</v>
      </c>
      <c r="F42" s="83">
        <v>57365.7</v>
      </c>
      <c r="G42" s="20">
        <f t="shared" si="4"/>
        <v>-13218.900000000009</v>
      </c>
      <c r="H42" s="20">
        <f t="shared" si="5"/>
        <v>81.27226052141684</v>
      </c>
      <c r="I42" s="86" t="e">
        <f>#REF!-D42</f>
        <v>#REF!</v>
      </c>
      <c r="J42" s="41" t="e">
        <f>#REF!/D42%</f>
        <v>#REF!</v>
      </c>
      <c r="K42" s="20">
        <f t="shared" si="6"/>
        <v>-4906.4000000000015</v>
      </c>
      <c r="L42" s="59">
        <f t="shared" si="7"/>
        <v>92.12103012424504</v>
      </c>
      <c r="M42" s="29"/>
      <c r="N42" s="29"/>
      <c r="O42" s="29"/>
      <c r="P42" s="29"/>
    </row>
    <row r="43" spans="2:16" ht="37.5">
      <c r="B43" s="17" t="s">
        <v>2</v>
      </c>
      <c r="C43" s="18">
        <v>1415.5</v>
      </c>
      <c r="D43" s="18"/>
      <c r="E43" s="18">
        <v>1210.8</v>
      </c>
      <c r="F43" s="84">
        <v>917.5</v>
      </c>
      <c r="G43" s="20">
        <f t="shared" si="4"/>
        <v>-498</v>
      </c>
      <c r="H43" s="20">
        <f t="shared" si="5"/>
        <v>64.81808548216178</v>
      </c>
      <c r="I43" s="86"/>
      <c r="J43" s="41"/>
      <c r="K43" s="20">
        <f t="shared" si="6"/>
        <v>-293.29999999999995</v>
      </c>
      <c r="L43" s="59">
        <f t="shared" si="7"/>
        <v>75.77634621737694</v>
      </c>
      <c r="M43" s="29"/>
      <c r="N43" s="29"/>
      <c r="O43" s="29"/>
      <c r="P43" s="29"/>
    </row>
    <row r="44" spans="2:16" ht="20.25">
      <c r="B44" s="33" t="s">
        <v>21</v>
      </c>
      <c r="C44" s="32">
        <f>C45+C46+C48+C49+C50+C51+C47</f>
        <v>189435.9</v>
      </c>
      <c r="D44" s="32">
        <f>D45+D46+D48+D49+D50+D51</f>
        <v>6168.9</v>
      </c>
      <c r="E44" s="32">
        <f>E45+E46+E48+E49+E50+E51+E47</f>
        <v>179838.00000000003</v>
      </c>
      <c r="F44" s="83">
        <f>F45+F46+F48+F49+F50+F51</f>
        <v>226047.4</v>
      </c>
      <c r="G44" s="20">
        <f t="shared" si="4"/>
        <v>36611.5</v>
      </c>
      <c r="H44" s="20">
        <f t="shared" si="5"/>
        <v>119.32659015529792</v>
      </c>
      <c r="I44" s="86" t="e">
        <f>#REF!-D44</f>
        <v>#REF!</v>
      </c>
      <c r="J44" s="41" t="e">
        <f>#REF!/D44%</f>
        <v>#REF!</v>
      </c>
      <c r="K44" s="20">
        <f t="shared" si="6"/>
        <v>46209.399999999965</v>
      </c>
      <c r="L44" s="59">
        <f t="shared" si="7"/>
        <v>125.69501440185053</v>
      </c>
      <c r="M44" s="29"/>
      <c r="N44" s="29"/>
      <c r="O44" s="29"/>
      <c r="P44" s="29"/>
    </row>
    <row r="45" spans="2:16" ht="37.5">
      <c r="B45" s="13" t="s">
        <v>45</v>
      </c>
      <c r="C45" s="32">
        <v>182448.4</v>
      </c>
      <c r="D45" s="32"/>
      <c r="E45" s="32">
        <f>E17+E18+E19</f>
        <v>173591.6</v>
      </c>
      <c r="F45" s="83">
        <f>221446.9-443.1</f>
        <v>221003.8</v>
      </c>
      <c r="G45" s="20">
        <f t="shared" si="4"/>
        <v>38555.399999999994</v>
      </c>
      <c r="H45" s="20">
        <f t="shared" si="5"/>
        <v>121.13222149385798</v>
      </c>
      <c r="I45" s="86"/>
      <c r="J45" s="41"/>
      <c r="K45" s="20">
        <f t="shared" si="6"/>
        <v>47412.19999999998</v>
      </c>
      <c r="L45" s="59">
        <f t="shared" si="7"/>
        <v>127.31249668762774</v>
      </c>
      <c r="M45" s="29">
        <f>221003.8+14.3+428.8</f>
        <v>221446.89999999997</v>
      </c>
      <c r="N45" s="78">
        <f>F45-M45</f>
        <v>-443.0999999999767</v>
      </c>
      <c r="O45" s="29"/>
      <c r="P45" s="29"/>
    </row>
    <row r="46" spans="2:16" ht="20.25">
      <c r="B46" s="30" t="s">
        <v>22</v>
      </c>
      <c r="C46" s="32">
        <f>599.6+49</f>
        <v>648.6</v>
      </c>
      <c r="D46" s="31">
        <v>446.7</v>
      </c>
      <c r="E46" s="32">
        <v>523.2</v>
      </c>
      <c r="F46" s="83">
        <f>631.2</f>
        <v>631.2</v>
      </c>
      <c r="G46" s="20">
        <f t="shared" si="4"/>
        <v>-17.399999999999977</v>
      </c>
      <c r="H46" s="20">
        <f t="shared" si="5"/>
        <v>97.31729879740982</v>
      </c>
      <c r="I46" s="86" t="e">
        <f>#REF!-D46</f>
        <v>#REF!</v>
      </c>
      <c r="J46" s="41" t="e">
        <f>#REF!/D46%</f>
        <v>#REF!</v>
      </c>
      <c r="K46" s="20">
        <f t="shared" si="6"/>
        <v>108</v>
      </c>
      <c r="L46" s="59">
        <f t="shared" si="7"/>
        <v>120.64220183486239</v>
      </c>
      <c r="M46" s="29"/>
      <c r="N46" s="29"/>
      <c r="O46" s="29"/>
      <c r="P46" s="29"/>
    </row>
    <row r="47" spans="2:16" ht="20.25">
      <c r="B47" s="30" t="s">
        <v>72</v>
      </c>
      <c r="C47" s="32">
        <v>153.9</v>
      </c>
      <c r="D47" s="31"/>
      <c r="E47" s="32">
        <v>153.9</v>
      </c>
      <c r="F47" s="83"/>
      <c r="G47" s="20"/>
      <c r="H47" s="20"/>
      <c r="I47" s="86"/>
      <c r="J47" s="41"/>
      <c r="K47" s="20"/>
      <c r="L47" s="59"/>
      <c r="M47" s="29"/>
      <c r="N47" s="29"/>
      <c r="O47" s="29"/>
      <c r="P47" s="29"/>
    </row>
    <row r="48" spans="2:16" ht="20.25">
      <c r="B48" s="34" t="s">
        <v>23</v>
      </c>
      <c r="C48" s="32">
        <v>5195.3</v>
      </c>
      <c r="D48" s="31">
        <v>4524.9</v>
      </c>
      <c r="E48" s="32">
        <v>4803.5</v>
      </c>
      <c r="F48" s="83">
        <v>3252.7</v>
      </c>
      <c r="G48" s="20">
        <f t="shared" si="4"/>
        <v>-1942.6000000000004</v>
      </c>
      <c r="H48" s="20">
        <f t="shared" si="5"/>
        <v>62.60851153927588</v>
      </c>
      <c r="I48" s="86" t="e">
        <f>#REF!-D48</f>
        <v>#REF!</v>
      </c>
      <c r="J48" s="41" t="e">
        <f>#REF!/D48%</f>
        <v>#REF!</v>
      </c>
      <c r="K48" s="20">
        <f t="shared" si="6"/>
        <v>-1550.8000000000002</v>
      </c>
      <c r="L48" s="59">
        <f t="shared" si="7"/>
        <v>67.71520766108046</v>
      </c>
      <c r="M48" s="29"/>
      <c r="N48" s="29"/>
      <c r="O48" s="29"/>
      <c r="P48" s="29"/>
    </row>
    <row r="49" spans="2:16" ht="20.25">
      <c r="B49" s="34" t="s">
        <v>24</v>
      </c>
      <c r="C49" s="32">
        <f>432.7-7</f>
        <v>425.7</v>
      </c>
      <c r="D49" s="31">
        <v>802.3</v>
      </c>
      <c r="E49" s="32">
        <f>276.7-7</f>
        <v>269.7</v>
      </c>
      <c r="F49" s="83">
        <v>473.3</v>
      </c>
      <c r="G49" s="20">
        <f t="shared" si="4"/>
        <v>47.60000000000002</v>
      </c>
      <c r="H49" s="20">
        <f t="shared" si="5"/>
        <v>111.18158327460654</v>
      </c>
      <c r="I49" s="86" t="e">
        <f>#REF!-D49</f>
        <v>#REF!</v>
      </c>
      <c r="J49" s="41" t="e">
        <f>#REF!/D49%</f>
        <v>#REF!</v>
      </c>
      <c r="K49" s="20">
        <f t="shared" si="6"/>
        <v>203.60000000000002</v>
      </c>
      <c r="L49" s="59">
        <f t="shared" si="7"/>
        <v>175.49128661475714</v>
      </c>
      <c r="M49" s="29"/>
      <c r="N49" s="29"/>
      <c r="O49" s="29"/>
      <c r="P49" s="29"/>
    </row>
    <row r="50" spans="2:16" ht="20.25">
      <c r="B50" s="34" t="s">
        <v>25</v>
      </c>
      <c r="C50" s="32">
        <v>218</v>
      </c>
      <c r="D50" s="31">
        <v>75</v>
      </c>
      <c r="E50" s="32">
        <v>183.9</v>
      </c>
      <c r="F50" s="83">
        <v>237</v>
      </c>
      <c r="G50" s="20">
        <f t="shared" si="4"/>
        <v>19</v>
      </c>
      <c r="H50" s="20">
        <f t="shared" si="5"/>
        <v>108.71559633027523</v>
      </c>
      <c r="I50" s="86" t="e">
        <f>#REF!-D50</f>
        <v>#REF!</v>
      </c>
      <c r="J50" s="41" t="e">
        <f>#REF!/D50%</f>
        <v>#REF!</v>
      </c>
      <c r="K50" s="20">
        <f t="shared" si="6"/>
        <v>53.099999999999994</v>
      </c>
      <c r="L50" s="59">
        <f t="shared" si="7"/>
        <v>128.87438825448615</v>
      </c>
      <c r="M50" s="29"/>
      <c r="N50" s="29"/>
      <c r="O50" s="29"/>
      <c r="P50" s="29"/>
    </row>
    <row r="51" spans="2:16" ht="37.5">
      <c r="B51" s="35" t="s">
        <v>26</v>
      </c>
      <c r="C51" s="32">
        <v>346</v>
      </c>
      <c r="D51" s="31">
        <v>320</v>
      </c>
      <c r="E51" s="45">
        <v>312.2</v>
      </c>
      <c r="F51" s="83">
        <v>449.4</v>
      </c>
      <c r="G51" s="20">
        <f t="shared" si="4"/>
        <v>103.39999999999998</v>
      </c>
      <c r="H51" s="20">
        <f t="shared" si="5"/>
        <v>129.88439306358381</v>
      </c>
      <c r="I51" s="86" t="e">
        <f>#REF!-D51</f>
        <v>#REF!</v>
      </c>
      <c r="J51" s="41" t="e">
        <f>#REF!/D51%</f>
        <v>#REF!</v>
      </c>
      <c r="K51" s="20">
        <f t="shared" si="6"/>
        <v>137.2</v>
      </c>
      <c r="L51" s="59">
        <f t="shared" si="7"/>
        <v>143.94618834080717</v>
      </c>
      <c r="M51" s="29"/>
      <c r="N51" s="29"/>
      <c r="O51" s="29"/>
      <c r="P51" s="29"/>
    </row>
    <row r="52" spans="2:16" ht="20.25">
      <c r="B52" s="30" t="s">
        <v>27</v>
      </c>
      <c r="C52" s="32">
        <f>3773.42-236.1</f>
        <v>3537.32</v>
      </c>
      <c r="D52" s="31">
        <v>3528.7</v>
      </c>
      <c r="E52" s="45">
        <f>2607.2-181.1</f>
        <v>2426.1</v>
      </c>
      <c r="F52" s="83">
        <v>3692.5</v>
      </c>
      <c r="G52" s="20">
        <f t="shared" si="4"/>
        <v>155.17999999999984</v>
      </c>
      <c r="H52" s="20">
        <f t="shared" si="5"/>
        <v>104.38693700315494</v>
      </c>
      <c r="I52" s="86" t="e">
        <f>#REF!-D52</f>
        <v>#REF!</v>
      </c>
      <c r="J52" s="41" t="e">
        <f>#REF!/D52%</f>
        <v>#REF!</v>
      </c>
      <c r="K52" s="20">
        <f t="shared" si="6"/>
        <v>1266.4</v>
      </c>
      <c r="L52" s="59">
        <f t="shared" si="7"/>
        <v>152.1990025143234</v>
      </c>
      <c r="M52" s="29"/>
      <c r="N52" s="29"/>
      <c r="O52" s="29"/>
      <c r="P52" s="29"/>
    </row>
    <row r="53" spans="2:16" ht="20.25">
      <c r="B53" s="34" t="s">
        <v>28</v>
      </c>
      <c r="C53" s="32">
        <v>9475.7</v>
      </c>
      <c r="D53" s="31">
        <v>10025</v>
      </c>
      <c r="E53" s="45">
        <f>8344.7</f>
        <v>8344.7</v>
      </c>
      <c r="F53" s="83">
        <v>8360</v>
      </c>
      <c r="G53" s="20">
        <f t="shared" si="4"/>
        <v>-1115.7000000000007</v>
      </c>
      <c r="H53" s="20">
        <f t="shared" si="5"/>
        <v>88.22567198201715</v>
      </c>
      <c r="I53" s="86" t="e">
        <f>#REF!-D53</f>
        <v>#REF!</v>
      </c>
      <c r="J53" s="41" t="e">
        <f>#REF!/D53%</f>
        <v>#REF!</v>
      </c>
      <c r="K53" s="20">
        <f t="shared" si="6"/>
        <v>15.299999999999272</v>
      </c>
      <c r="L53" s="59">
        <f t="shared" si="7"/>
        <v>100.18334991072177</v>
      </c>
      <c r="M53" s="29"/>
      <c r="N53" s="29"/>
      <c r="O53" s="29"/>
      <c r="P53" s="29"/>
    </row>
    <row r="54" spans="2:16" ht="20.25">
      <c r="B54" s="34" t="s">
        <v>29</v>
      </c>
      <c r="C54" s="32">
        <v>10</v>
      </c>
      <c r="D54" s="31">
        <v>218.7</v>
      </c>
      <c r="E54" s="45">
        <v>0</v>
      </c>
      <c r="F54" s="83">
        <v>15</v>
      </c>
      <c r="G54" s="20">
        <f t="shared" si="4"/>
        <v>5</v>
      </c>
      <c r="H54" s="20">
        <f t="shared" si="5"/>
        <v>150</v>
      </c>
      <c r="I54" s="86" t="e">
        <f>#REF!-D54</f>
        <v>#REF!</v>
      </c>
      <c r="J54" s="41" t="e">
        <f>#REF!/D54%</f>
        <v>#REF!</v>
      </c>
      <c r="K54" s="20">
        <f t="shared" si="6"/>
        <v>15</v>
      </c>
      <c r="L54" s="59" t="e">
        <f t="shared" si="7"/>
        <v>#DIV/0!</v>
      </c>
      <c r="M54" s="29"/>
      <c r="N54" s="29"/>
      <c r="O54" s="29"/>
      <c r="P54" s="29"/>
    </row>
    <row r="55" spans="2:16" ht="20.25">
      <c r="B55" s="34" t="s">
        <v>30</v>
      </c>
      <c r="C55" s="32">
        <v>1246.9</v>
      </c>
      <c r="D55" s="31">
        <v>804.2</v>
      </c>
      <c r="E55" s="45">
        <v>1069.4</v>
      </c>
      <c r="F55" s="83">
        <v>1480.6</v>
      </c>
      <c r="G55" s="20">
        <f t="shared" si="4"/>
        <v>233.69999999999982</v>
      </c>
      <c r="H55" s="20">
        <f t="shared" si="5"/>
        <v>118.74248135375731</v>
      </c>
      <c r="I55" s="86" t="e">
        <f>#REF!-D55</f>
        <v>#REF!</v>
      </c>
      <c r="J55" s="41" t="e">
        <f>#REF!/D55%</f>
        <v>#REF!</v>
      </c>
      <c r="K55" s="20">
        <f t="shared" si="6"/>
        <v>411.1999999999998</v>
      </c>
      <c r="L55" s="59">
        <f t="shared" si="7"/>
        <v>138.45146811296053</v>
      </c>
      <c r="M55" s="29"/>
      <c r="N55" s="29"/>
      <c r="O55" s="29"/>
      <c r="P55" s="29"/>
    </row>
    <row r="56" spans="2:16" ht="20.25">
      <c r="B56" s="34" t="s">
        <v>75</v>
      </c>
      <c r="C56" s="32">
        <v>35</v>
      </c>
      <c r="D56" s="31"/>
      <c r="E56" s="45">
        <v>0</v>
      </c>
      <c r="F56" s="83"/>
      <c r="G56" s="20"/>
      <c r="H56" s="20"/>
      <c r="I56" s="86"/>
      <c r="J56" s="41"/>
      <c r="K56" s="20"/>
      <c r="L56" s="59"/>
      <c r="M56" s="29"/>
      <c r="N56" s="29"/>
      <c r="O56" s="29"/>
      <c r="P56" s="29"/>
    </row>
    <row r="57" spans="2:16" ht="20.25">
      <c r="B57" s="34" t="s">
        <v>31</v>
      </c>
      <c r="C57" s="32">
        <v>212.7</v>
      </c>
      <c r="D57" s="31">
        <v>464.8</v>
      </c>
      <c r="E57" s="32">
        <v>112</v>
      </c>
      <c r="F57" s="83">
        <v>109</v>
      </c>
      <c r="G57" s="20">
        <f t="shared" si="4"/>
        <v>-103.69999999999999</v>
      </c>
      <c r="H57" s="20">
        <f t="shared" si="5"/>
        <v>51.24588622472967</v>
      </c>
      <c r="I57" s="86" t="e">
        <f>#REF!-D57</f>
        <v>#REF!</v>
      </c>
      <c r="J57" s="41" t="e">
        <f>#REF!/D57%</f>
        <v>#REF!</v>
      </c>
      <c r="K57" s="20">
        <f t="shared" si="6"/>
        <v>-3</v>
      </c>
      <c r="L57" s="59">
        <f t="shared" si="7"/>
        <v>97.32142857142857</v>
      </c>
      <c r="M57" s="29"/>
      <c r="N57" s="29"/>
      <c r="O57" s="29"/>
      <c r="P57" s="29"/>
    </row>
    <row r="58" spans="2:16" ht="20.25">
      <c r="B58" s="34" t="s">
        <v>32</v>
      </c>
      <c r="C58" s="32">
        <f>3708.7-146.2</f>
        <v>3562.5</v>
      </c>
      <c r="D58" s="31">
        <v>2999.9</v>
      </c>
      <c r="E58" s="32">
        <f>3173.9-148</f>
        <v>3025.9</v>
      </c>
      <c r="F58" s="83">
        <v>2985.253</v>
      </c>
      <c r="G58" s="20">
        <f t="shared" si="4"/>
        <v>-577.2469999999998</v>
      </c>
      <c r="H58" s="20">
        <f t="shared" si="5"/>
        <v>83.7965754385965</v>
      </c>
      <c r="I58" s="86" t="e">
        <f>#REF!-D58</f>
        <v>#REF!</v>
      </c>
      <c r="J58" s="41" t="e">
        <f>#REF!/D58%</f>
        <v>#REF!</v>
      </c>
      <c r="K58" s="20">
        <f t="shared" si="6"/>
        <v>-40.646999999999935</v>
      </c>
      <c r="L58" s="59">
        <f t="shared" si="7"/>
        <v>98.656697181004</v>
      </c>
      <c r="M58" s="29"/>
      <c r="N58" s="29"/>
      <c r="O58" s="29"/>
      <c r="P58" s="29"/>
    </row>
    <row r="59" spans="2:16" ht="20.25">
      <c r="B59" s="34" t="s">
        <v>33</v>
      </c>
      <c r="C59" s="32">
        <v>0</v>
      </c>
      <c r="D59" s="31">
        <v>0</v>
      </c>
      <c r="E59" s="32">
        <v>0</v>
      </c>
      <c r="F59" s="83">
        <v>55</v>
      </c>
      <c r="G59" s="20">
        <f t="shared" si="4"/>
        <v>55</v>
      </c>
      <c r="H59" s="20">
        <v>0</v>
      </c>
      <c r="I59" s="86" t="e">
        <f>#REF!-D59</f>
        <v>#REF!</v>
      </c>
      <c r="J59" s="41" t="e">
        <f>#REF!/D59%</f>
        <v>#REF!</v>
      </c>
      <c r="K59" s="20">
        <f t="shared" si="6"/>
        <v>55</v>
      </c>
      <c r="L59" s="59" t="e">
        <f t="shared" si="7"/>
        <v>#DIV/0!</v>
      </c>
      <c r="M59" s="29"/>
      <c r="N59" s="29"/>
      <c r="O59" s="29"/>
      <c r="P59" s="29"/>
    </row>
    <row r="60" spans="2:16" ht="20.25">
      <c r="B60" s="34" t="s">
        <v>34</v>
      </c>
      <c r="C60" s="32">
        <v>156.4</v>
      </c>
      <c r="D60" s="31">
        <v>164.9</v>
      </c>
      <c r="E60" s="32">
        <v>128.4</v>
      </c>
      <c r="F60" s="83">
        <v>90</v>
      </c>
      <c r="G60" s="20">
        <f t="shared" si="4"/>
        <v>-66.4</v>
      </c>
      <c r="H60" s="20">
        <f t="shared" si="5"/>
        <v>57.54475703324808</v>
      </c>
      <c r="I60" s="86" t="e">
        <f>#REF!-D60</f>
        <v>#REF!</v>
      </c>
      <c r="J60" s="41" t="e">
        <f>#REF!/D60%</f>
        <v>#REF!</v>
      </c>
      <c r="K60" s="20">
        <f t="shared" si="6"/>
        <v>-38.400000000000006</v>
      </c>
      <c r="L60" s="59">
        <f t="shared" si="7"/>
        <v>70.09345794392523</v>
      </c>
      <c r="M60" s="29"/>
      <c r="N60" s="29"/>
      <c r="O60" s="29"/>
      <c r="P60" s="29"/>
    </row>
    <row r="61" spans="2:16" ht="20.25">
      <c r="B61" s="34" t="s">
        <v>35</v>
      </c>
      <c r="C61" s="32">
        <v>130.3</v>
      </c>
      <c r="D61" s="31">
        <v>223.7</v>
      </c>
      <c r="E61" s="32">
        <v>110.4</v>
      </c>
      <c r="F61" s="83">
        <v>130</v>
      </c>
      <c r="G61" s="20">
        <f t="shared" si="4"/>
        <v>-0.30000000000001137</v>
      </c>
      <c r="H61" s="20">
        <f t="shared" si="5"/>
        <v>99.76976208749039</v>
      </c>
      <c r="I61" s="86" t="e">
        <f>#REF!-D61</f>
        <v>#REF!</v>
      </c>
      <c r="J61" s="41" t="e">
        <f>#REF!/D61%</f>
        <v>#REF!</v>
      </c>
      <c r="K61" s="20">
        <f t="shared" si="6"/>
        <v>19.599999999999994</v>
      </c>
      <c r="L61" s="59">
        <f t="shared" si="7"/>
        <v>117.75362318840578</v>
      </c>
      <c r="M61" s="29"/>
      <c r="N61" s="29"/>
      <c r="O61" s="29"/>
      <c r="P61" s="29"/>
    </row>
    <row r="62" spans="2:16" ht="20.25">
      <c r="B62" s="34" t="s">
        <v>71</v>
      </c>
      <c r="C62" s="32">
        <v>115</v>
      </c>
      <c r="D62" s="31"/>
      <c r="E62" s="32">
        <v>77.9</v>
      </c>
      <c r="F62" s="83">
        <v>80</v>
      </c>
      <c r="G62" s="20">
        <f t="shared" si="4"/>
        <v>-35</v>
      </c>
      <c r="H62" s="20">
        <v>0</v>
      </c>
      <c r="I62" s="86"/>
      <c r="J62" s="41"/>
      <c r="K62" s="20">
        <f t="shared" si="6"/>
        <v>2.0999999999999943</v>
      </c>
      <c r="L62" s="59">
        <f t="shared" si="7"/>
        <v>102.69576379974326</v>
      </c>
      <c r="M62" s="29"/>
      <c r="N62" s="29"/>
      <c r="O62" s="29"/>
      <c r="P62" s="29"/>
    </row>
    <row r="63" spans="2:16" ht="20.25">
      <c r="B63" s="34" t="s">
        <v>73</v>
      </c>
      <c r="C63" s="32">
        <f>801.4-10</f>
        <v>791.4</v>
      </c>
      <c r="D63" s="31">
        <v>0</v>
      </c>
      <c r="E63" s="32">
        <f>791.5-10</f>
        <v>781.5</v>
      </c>
      <c r="F63" s="83">
        <v>0</v>
      </c>
      <c r="G63" s="20">
        <f t="shared" si="4"/>
        <v>-791.4</v>
      </c>
      <c r="H63" s="20">
        <v>0</v>
      </c>
      <c r="I63" s="86" t="e">
        <f>#REF!-D63</f>
        <v>#REF!</v>
      </c>
      <c r="J63" s="41" t="e">
        <f>#REF!/D63%</f>
        <v>#REF!</v>
      </c>
      <c r="K63" s="20">
        <f t="shared" si="6"/>
        <v>-781.5</v>
      </c>
      <c r="L63" s="59">
        <f t="shared" si="7"/>
        <v>0</v>
      </c>
      <c r="M63" s="29"/>
      <c r="N63" s="29"/>
      <c r="O63" s="29"/>
      <c r="P63" s="29"/>
    </row>
    <row r="64" spans="2:16" ht="20.25">
      <c r="B64" s="34" t="s">
        <v>36</v>
      </c>
      <c r="C64" s="32">
        <v>50</v>
      </c>
      <c r="D64" s="31">
        <v>13.8</v>
      </c>
      <c r="E64" s="32">
        <v>0</v>
      </c>
      <c r="F64" s="83">
        <v>50</v>
      </c>
      <c r="G64" s="20">
        <f t="shared" si="4"/>
        <v>0</v>
      </c>
      <c r="H64" s="20">
        <f t="shared" si="5"/>
        <v>100</v>
      </c>
      <c r="I64" s="86" t="e">
        <f>#REF!-D64</f>
        <v>#REF!</v>
      </c>
      <c r="J64" s="41" t="e">
        <f>#REF!/D64%</f>
        <v>#REF!</v>
      </c>
      <c r="K64" s="20">
        <f t="shared" si="6"/>
        <v>50</v>
      </c>
      <c r="L64" s="59" t="e">
        <f t="shared" si="7"/>
        <v>#DIV/0!</v>
      </c>
      <c r="M64" s="29"/>
      <c r="N64" s="29"/>
      <c r="O64" s="29"/>
      <c r="P64" s="29"/>
    </row>
    <row r="65" spans="2:16" ht="20.25">
      <c r="B65" s="34" t="s">
        <v>37</v>
      </c>
      <c r="C65" s="32">
        <v>486</v>
      </c>
      <c r="D65" s="31">
        <v>103</v>
      </c>
      <c r="E65" s="32">
        <v>298.5</v>
      </c>
      <c r="F65" s="83">
        <v>320.816</v>
      </c>
      <c r="G65" s="20">
        <f t="shared" si="4"/>
        <v>-165.18400000000003</v>
      </c>
      <c r="H65" s="20">
        <f t="shared" si="5"/>
        <v>66.01152263374485</v>
      </c>
      <c r="I65" s="86" t="e">
        <f>#REF!-D65</f>
        <v>#REF!</v>
      </c>
      <c r="J65" s="41" t="e">
        <f>#REF!/D65%</f>
        <v>#REF!</v>
      </c>
      <c r="K65" s="20">
        <f t="shared" si="6"/>
        <v>22.315999999999974</v>
      </c>
      <c r="L65" s="59">
        <f t="shared" si="7"/>
        <v>107.47604690117252</v>
      </c>
      <c r="M65" s="29"/>
      <c r="N65" s="29"/>
      <c r="O65" s="29"/>
      <c r="P65" s="29"/>
    </row>
    <row r="66" spans="2:16" ht="34.5">
      <c r="B66" s="36" t="s">
        <v>38</v>
      </c>
      <c r="C66" s="32">
        <f>546.3-146.2</f>
        <v>400.09999999999997</v>
      </c>
      <c r="D66" s="31">
        <v>3161.6</v>
      </c>
      <c r="E66" s="32">
        <f>541.5-146.2</f>
        <v>395.3</v>
      </c>
      <c r="F66" s="83">
        <v>0</v>
      </c>
      <c r="G66" s="20">
        <f t="shared" si="4"/>
        <v>-400.09999999999997</v>
      </c>
      <c r="H66" s="20">
        <f t="shared" si="5"/>
        <v>0</v>
      </c>
      <c r="I66" s="86" t="e">
        <f>#REF!-D66</f>
        <v>#REF!</v>
      </c>
      <c r="J66" s="41" t="e">
        <f>#REF!/D66%</f>
        <v>#REF!</v>
      </c>
      <c r="K66" s="20">
        <f t="shared" si="6"/>
        <v>-395.3</v>
      </c>
      <c r="L66" s="59">
        <f t="shared" si="7"/>
        <v>0</v>
      </c>
      <c r="M66" s="29"/>
      <c r="N66" s="29"/>
      <c r="O66" s="29"/>
      <c r="P66" s="29"/>
    </row>
    <row r="67" spans="2:16" ht="20.25">
      <c r="B67" s="37" t="s">
        <v>39</v>
      </c>
      <c r="C67" s="32">
        <f>12032.8-104</f>
        <v>11928.8</v>
      </c>
      <c r="D67" s="31">
        <v>1444.8</v>
      </c>
      <c r="E67" s="32">
        <f>11705-104</f>
        <v>11601</v>
      </c>
      <c r="F67" s="83">
        <v>12389</v>
      </c>
      <c r="G67" s="20">
        <f t="shared" si="4"/>
        <v>460.2000000000007</v>
      </c>
      <c r="H67" s="20">
        <f t="shared" si="5"/>
        <v>103.85789014821273</v>
      </c>
      <c r="I67" s="86"/>
      <c r="J67" s="41"/>
      <c r="K67" s="20">
        <f t="shared" si="6"/>
        <v>788</v>
      </c>
      <c r="L67" s="59">
        <f t="shared" si="7"/>
        <v>106.7925178863891</v>
      </c>
      <c r="M67" s="29"/>
      <c r="N67" s="29"/>
      <c r="O67" s="29"/>
      <c r="P67" s="29"/>
    </row>
    <row r="68" spans="2:16" ht="21" thickBot="1">
      <c r="B68" s="37" t="s">
        <v>40</v>
      </c>
      <c r="C68" s="32">
        <f>4611.4-258</f>
        <v>4353.4</v>
      </c>
      <c r="D68" s="31">
        <v>14833.5</v>
      </c>
      <c r="E68" s="32">
        <f>4376.5-258</f>
        <v>4118.5</v>
      </c>
      <c r="F68" s="83">
        <v>70</v>
      </c>
      <c r="G68" s="20">
        <f t="shared" si="4"/>
        <v>-4283.4</v>
      </c>
      <c r="H68" s="20">
        <f t="shared" si="5"/>
        <v>1.6079386226857169</v>
      </c>
      <c r="I68" s="86"/>
      <c r="J68" s="41"/>
      <c r="K68" s="20">
        <f t="shared" si="6"/>
        <v>-4048.5</v>
      </c>
      <c r="L68" s="59">
        <f t="shared" si="7"/>
        <v>1.699647930071628</v>
      </c>
      <c r="M68" s="29"/>
      <c r="N68" s="29"/>
      <c r="O68" s="29"/>
      <c r="P68" s="29"/>
    </row>
    <row r="69" spans="2:16" ht="40.5">
      <c r="B69" s="22" t="s">
        <v>46</v>
      </c>
      <c r="C69" s="32">
        <f>C70+C71</f>
        <v>462.8</v>
      </c>
      <c r="D69" s="32">
        <f>D70+D71</f>
        <v>0</v>
      </c>
      <c r="E69" s="32">
        <f>E70+E71</f>
        <v>358.3</v>
      </c>
      <c r="F69" s="83">
        <f>F70+F71</f>
        <v>443.1</v>
      </c>
      <c r="G69" s="20">
        <f t="shared" si="4"/>
        <v>-19.69999999999999</v>
      </c>
      <c r="H69" s="20">
        <f t="shared" si="5"/>
        <v>95.74330164217805</v>
      </c>
      <c r="I69" s="86"/>
      <c r="J69" s="41"/>
      <c r="K69" s="20">
        <f t="shared" si="6"/>
        <v>84.80000000000001</v>
      </c>
      <c r="L69" s="59">
        <f t="shared" si="7"/>
        <v>123.66731789003629</v>
      </c>
      <c r="M69" s="29"/>
      <c r="N69" s="29"/>
      <c r="O69" s="29"/>
      <c r="P69" s="29"/>
    </row>
    <row r="70" spans="2:16" ht="47.25">
      <c r="B70" s="23" t="s">
        <v>8</v>
      </c>
      <c r="C70" s="18">
        <v>422.8</v>
      </c>
      <c r="D70" s="18"/>
      <c r="E70" s="18">
        <v>358.3</v>
      </c>
      <c r="F70" s="80">
        <v>428.8</v>
      </c>
      <c r="G70" s="20">
        <f t="shared" si="4"/>
        <v>6</v>
      </c>
      <c r="H70" s="20">
        <f t="shared" si="5"/>
        <v>101.41911069063387</v>
      </c>
      <c r="I70" s="86"/>
      <c r="J70" s="41"/>
      <c r="K70" s="20">
        <f t="shared" si="6"/>
        <v>70.5</v>
      </c>
      <c r="L70" s="59">
        <f t="shared" si="7"/>
        <v>119.67624895339102</v>
      </c>
      <c r="M70" s="29"/>
      <c r="N70" s="29"/>
      <c r="O70" s="29"/>
      <c r="P70" s="29"/>
    </row>
    <row r="71" spans="2:16" ht="21" thickBot="1">
      <c r="B71" s="24" t="s">
        <v>9</v>
      </c>
      <c r="C71" s="25">
        <v>40</v>
      </c>
      <c r="D71" s="25"/>
      <c r="E71" s="25">
        <v>0</v>
      </c>
      <c r="F71" s="81">
        <v>14.3</v>
      </c>
      <c r="G71" s="20">
        <f t="shared" si="4"/>
        <v>-25.7</v>
      </c>
      <c r="H71" s="20">
        <f t="shared" si="5"/>
        <v>35.75000000000001</v>
      </c>
      <c r="I71" s="86"/>
      <c r="J71" s="41"/>
      <c r="K71" s="20">
        <f t="shared" si="6"/>
        <v>14.3</v>
      </c>
      <c r="L71" s="59" t="e">
        <f t="shared" si="7"/>
        <v>#DIV/0!</v>
      </c>
      <c r="M71" s="29"/>
      <c r="N71" s="29"/>
      <c r="O71" s="29"/>
      <c r="P71" s="29"/>
    </row>
    <row r="72" spans="2:16" ht="20.25">
      <c r="B72" s="36" t="s">
        <v>74</v>
      </c>
      <c r="C72" s="32">
        <v>2141</v>
      </c>
      <c r="D72" s="31">
        <v>1899.5</v>
      </c>
      <c r="E72" s="32">
        <v>2141</v>
      </c>
      <c r="F72" s="83">
        <v>0</v>
      </c>
      <c r="G72" s="20">
        <f t="shared" si="4"/>
        <v>-2141</v>
      </c>
      <c r="H72" s="20">
        <f t="shared" si="5"/>
        <v>0</v>
      </c>
      <c r="I72" s="86"/>
      <c r="J72" s="41"/>
      <c r="K72" s="20">
        <f t="shared" si="6"/>
        <v>-2141</v>
      </c>
      <c r="L72" s="59">
        <f t="shared" si="7"/>
        <v>0</v>
      </c>
      <c r="M72" s="29"/>
      <c r="N72" s="29"/>
      <c r="O72" s="29"/>
      <c r="P72" s="29"/>
    </row>
    <row r="73" spans="2:16" ht="20.25">
      <c r="B73" s="36" t="s">
        <v>76</v>
      </c>
      <c r="C73" s="32">
        <v>866.868</v>
      </c>
      <c r="D73" s="31"/>
      <c r="E73" s="32">
        <v>866.9</v>
      </c>
      <c r="F73" s="83"/>
      <c r="G73" s="20"/>
      <c r="H73" s="20"/>
      <c r="I73" s="86"/>
      <c r="J73" s="41"/>
      <c r="K73" s="20"/>
      <c r="L73" s="59"/>
      <c r="M73" s="29"/>
      <c r="N73" s="29"/>
      <c r="O73" s="29"/>
      <c r="P73" s="29"/>
    </row>
    <row r="74" spans="2:16" ht="20.25">
      <c r="B74" s="36" t="s">
        <v>41</v>
      </c>
      <c r="C74" s="32">
        <v>1799.9</v>
      </c>
      <c r="D74" s="31">
        <v>8839.2</v>
      </c>
      <c r="E74" s="96">
        <v>1799.9</v>
      </c>
      <c r="F74" s="83">
        <v>6754.2</v>
      </c>
      <c r="G74" s="20">
        <f>F74-C74</f>
        <v>4954.299999999999</v>
      </c>
      <c r="H74" s="20">
        <f>F74/C74*100</f>
        <v>375.25418078782155</v>
      </c>
      <c r="I74" s="86"/>
      <c r="J74" s="41"/>
      <c r="K74" s="20">
        <f>F74-E74</f>
        <v>4954.299999999999</v>
      </c>
      <c r="L74" s="59">
        <f>F74/E74*100</f>
        <v>375.25418078782155</v>
      </c>
      <c r="M74" s="29"/>
      <c r="N74" s="29"/>
      <c r="O74" s="29"/>
      <c r="P74" s="29"/>
    </row>
    <row r="75" spans="2:16" ht="20.25">
      <c r="B75" s="36" t="s">
        <v>42</v>
      </c>
      <c r="C75" s="32">
        <v>130</v>
      </c>
      <c r="D75" s="31">
        <v>100</v>
      </c>
      <c r="E75" s="45">
        <v>130</v>
      </c>
      <c r="F75" s="83">
        <v>200</v>
      </c>
      <c r="G75" s="20">
        <f>F75-C75</f>
        <v>70</v>
      </c>
      <c r="H75" s="20">
        <f>F75/C75*100</f>
        <v>153.84615384615387</v>
      </c>
      <c r="I75" s="86"/>
      <c r="J75" s="41"/>
      <c r="K75" s="20">
        <f>F75-E75</f>
        <v>70</v>
      </c>
      <c r="L75" s="59">
        <f>F75/E75*100</f>
        <v>153.84615384615387</v>
      </c>
      <c r="M75" s="29"/>
      <c r="N75" s="29"/>
      <c r="O75" s="29"/>
      <c r="P75" s="29"/>
    </row>
    <row r="76" spans="2:16" ht="20.25">
      <c r="B76" s="38" t="s">
        <v>43</v>
      </c>
      <c r="C76" s="32">
        <f>C72+C68+C67+C66+C65+C64+C63+C61+C60+C59+C58+C57+C55+C54+C53+C52+C44+C42+C41+C40+C39+C74+C75+C73+C62+C56+C69</f>
        <v>429420.37700000004</v>
      </c>
      <c r="D76" s="32">
        <f>D72+D68+D67+D66+D65+D64+D63+D61+D60+D59+D58+D57+D55+D54+D53+D52+D44+D42+D41+D40+D39+D74+D75</f>
        <v>209676.7</v>
      </c>
      <c r="E76" s="32">
        <f>E72+E68+E67+E66+E65+E64+E63+E61+E60+E59+E58+E57+E55+E54+E53+E52+E44+E42+E41+E40+E39+E74+E75+E73+E62+E56+E69</f>
        <v>387588.3000000001</v>
      </c>
      <c r="F76" s="85">
        <f>F72+F68+F67+F66+F65+F64+F63+F61+F60+F59+F58+F57+F55+F54+F53+F52+F44+F42+F41+F40+F39+F74+F75+F62+F69</f>
        <v>432995.53599999996</v>
      </c>
      <c r="G76" s="20">
        <f>F76-C76</f>
        <v>3575.158999999927</v>
      </c>
      <c r="H76" s="82">
        <f>F76/C76*100</f>
        <v>100.8325545762352</v>
      </c>
      <c r="I76" s="87" t="e">
        <f>I72+I68+I67+I66+I65+I64+I63+I61+I60+I59+I58+I57+I55+I54+I53+I52+I44+I42+I41+I40+I39+I74+I75</f>
        <v>#REF!</v>
      </c>
      <c r="J76" s="42" t="e">
        <f>J72+J68+J67+J66+J65+J64+J63+J61+J60+J59+J58+J57+J55+J54+J53+J52+J44+J42+J41+J40+J39+J74+J75</f>
        <v>#REF!</v>
      </c>
      <c r="K76" s="82">
        <f>F76-E76</f>
        <v>45407.23599999986</v>
      </c>
      <c r="L76" s="59">
        <f>F76/E76*100</f>
        <v>111.71532680424043</v>
      </c>
      <c r="M76" s="29"/>
      <c r="N76" s="29"/>
      <c r="O76" s="29"/>
      <c r="P76" s="29"/>
    </row>
    <row r="77" spans="2:16" ht="12.75">
      <c r="B77" s="29"/>
      <c r="C77" s="79"/>
      <c r="D77" s="39"/>
      <c r="E77" s="39"/>
      <c r="F77" s="79">
        <f>F37-F76</f>
        <v>-0.03599999990547076</v>
      </c>
      <c r="G77" s="43"/>
      <c r="H77" s="43"/>
      <c r="I77" s="43"/>
      <c r="J77" s="43"/>
      <c r="K77" s="44"/>
      <c r="L77" s="44"/>
      <c r="M77" s="29"/>
      <c r="N77" s="29"/>
      <c r="O77" s="29"/>
      <c r="P77" s="29"/>
    </row>
    <row r="78" spans="2:16" ht="12.75">
      <c r="B78" s="29"/>
      <c r="C78" s="39"/>
      <c r="D78" s="39"/>
      <c r="E78" s="39"/>
      <c r="F78" s="29"/>
      <c r="G78" s="43"/>
      <c r="H78" s="43"/>
      <c r="I78" s="43"/>
      <c r="J78" s="43"/>
      <c r="K78" s="44"/>
      <c r="L78" s="44"/>
      <c r="M78" s="29"/>
      <c r="N78" s="29"/>
      <c r="O78" s="29"/>
      <c r="P78" s="29"/>
    </row>
    <row r="79" spans="2:16" ht="12.75">
      <c r="B79" s="29"/>
      <c r="C79" s="39"/>
      <c r="D79" s="39"/>
      <c r="E79" s="39"/>
      <c r="F79" s="29"/>
      <c r="G79" s="43"/>
      <c r="H79" s="43"/>
      <c r="I79" s="43"/>
      <c r="J79" s="43"/>
      <c r="K79" s="43"/>
      <c r="L79" s="43"/>
      <c r="M79" s="29"/>
      <c r="N79" s="29"/>
      <c r="O79" s="29"/>
      <c r="P79" s="29"/>
    </row>
    <row r="80" spans="2:16" ht="12.75">
      <c r="B80" s="29"/>
      <c r="C80" s="39"/>
      <c r="D80" s="39"/>
      <c r="E80" s="39"/>
      <c r="F80" s="29"/>
      <c r="G80" s="43"/>
      <c r="H80" s="43"/>
      <c r="I80" s="43"/>
      <c r="J80" s="43"/>
      <c r="K80" s="43"/>
      <c r="L80" s="43"/>
      <c r="M80" s="29"/>
      <c r="N80" s="29"/>
      <c r="O80" s="29"/>
      <c r="P80" s="29"/>
    </row>
    <row r="81" spans="2:16" ht="12.75">
      <c r="B81" s="29"/>
      <c r="C81" s="79">
        <f>C44+C69</f>
        <v>189898.69999999998</v>
      </c>
      <c r="D81" s="39"/>
      <c r="E81" s="39">
        <v>189905.7</v>
      </c>
      <c r="F81" s="29"/>
      <c r="G81" s="43"/>
      <c r="H81" s="43"/>
      <c r="I81" s="43"/>
      <c r="J81" s="43"/>
      <c r="K81" s="43"/>
      <c r="L81" s="43"/>
      <c r="M81" s="29"/>
      <c r="N81" s="29"/>
      <c r="O81" s="29"/>
      <c r="P81" s="29"/>
    </row>
    <row r="82" spans="2:16" ht="12.75">
      <c r="B82" s="29"/>
      <c r="C82" s="39"/>
      <c r="D82" s="39"/>
      <c r="E82" s="79">
        <f>E81-C81</f>
        <v>7.000000000029104</v>
      </c>
      <c r="F82" s="29"/>
      <c r="G82" s="43"/>
      <c r="H82" s="43"/>
      <c r="I82" s="43"/>
      <c r="J82" s="43"/>
      <c r="K82" s="43"/>
      <c r="L82" s="43"/>
      <c r="M82" s="29"/>
      <c r="N82" s="29"/>
      <c r="O82" s="29"/>
      <c r="P82" s="29"/>
    </row>
    <row r="83" spans="2:16" ht="12.75">
      <c r="B83" s="29"/>
      <c r="C83" s="39"/>
      <c r="D83" s="39"/>
      <c r="E83" s="79">
        <f>E69+E44</f>
        <v>180196.30000000002</v>
      </c>
      <c r="F83" s="29">
        <v>180203.4</v>
      </c>
      <c r="G83" s="43"/>
      <c r="H83" s="43"/>
      <c r="I83" s="43"/>
      <c r="J83" s="43"/>
      <c r="K83" s="43"/>
      <c r="L83" s="43"/>
      <c r="M83" s="29"/>
      <c r="N83" s="29"/>
      <c r="O83" s="29"/>
      <c r="P83" s="29"/>
    </row>
    <row r="84" spans="2:16" ht="12.75">
      <c r="B84" s="29"/>
      <c r="C84" s="79">
        <f>430792.5-456.1-C76+C75</f>
        <v>1046.0229999999865</v>
      </c>
      <c r="D84" s="39"/>
      <c r="E84" s="39"/>
      <c r="F84" s="78">
        <f>F83-E83</f>
        <v>7.099999999976717</v>
      </c>
      <c r="G84" s="40"/>
      <c r="H84" s="40"/>
      <c r="I84" s="40"/>
      <c r="J84" s="40"/>
      <c r="K84" s="29"/>
      <c r="L84" s="29"/>
      <c r="M84" s="29"/>
      <c r="N84" s="29"/>
      <c r="O84" s="29"/>
      <c r="P84" s="29"/>
    </row>
    <row r="85" spans="2:16" ht="12.75">
      <c r="B85" s="29"/>
      <c r="C85" s="39"/>
      <c r="D85" s="39"/>
      <c r="E85" s="39"/>
      <c r="F85" s="29"/>
      <c r="G85" s="40"/>
      <c r="H85" s="40"/>
      <c r="I85" s="40"/>
      <c r="J85" s="40"/>
      <c r="K85" s="29"/>
      <c r="L85" s="29"/>
      <c r="M85" s="29"/>
      <c r="N85" s="29"/>
      <c r="O85" s="29"/>
      <c r="P85" s="29"/>
    </row>
    <row r="86" spans="2:16" ht="12.75">
      <c r="B86" s="29"/>
      <c r="C86" s="39"/>
      <c r="D86" s="39"/>
      <c r="E86" s="39">
        <v>388697.5</v>
      </c>
      <c r="F86" s="78">
        <f>E86-E76-451.9</f>
        <v>657.2999999998952</v>
      </c>
      <c r="G86" s="40"/>
      <c r="H86" s="40"/>
      <c r="I86" s="40"/>
      <c r="J86" s="40"/>
      <c r="K86" s="29"/>
      <c r="L86" s="29"/>
      <c r="M86" s="29"/>
      <c r="N86" s="29"/>
      <c r="O86" s="29"/>
      <c r="P86" s="29"/>
    </row>
    <row r="87" spans="2:16" ht="12.75">
      <c r="B87" s="29"/>
      <c r="C87" s="39"/>
      <c r="D87" s="39"/>
      <c r="E87" s="79">
        <f>E86-E76</f>
        <v>1109.1999999998952</v>
      </c>
      <c r="F87" s="29"/>
      <c r="G87" s="40"/>
      <c r="H87" s="40"/>
      <c r="I87" s="40"/>
      <c r="J87" s="40"/>
      <c r="K87" s="29"/>
      <c r="L87" s="29"/>
      <c r="M87" s="29"/>
      <c r="N87" s="29"/>
      <c r="O87" s="29"/>
      <c r="P87" s="29"/>
    </row>
    <row r="88" spans="2:16" ht="12.75">
      <c r="B88" s="29"/>
      <c r="C88" s="39"/>
      <c r="D88" s="39"/>
      <c r="E88" s="39">
        <v>451.9</v>
      </c>
      <c r="F88" s="29"/>
      <c r="G88" s="40"/>
      <c r="H88" s="40"/>
      <c r="I88" s="40"/>
      <c r="J88" s="40"/>
      <c r="K88" s="29"/>
      <c r="L88" s="29"/>
      <c r="M88" s="29"/>
      <c r="N88" s="29"/>
      <c r="O88" s="29"/>
      <c r="P88" s="29"/>
    </row>
    <row r="89" spans="2:16" ht="12.75">
      <c r="B89" s="29"/>
      <c r="C89" s="39"/>
      <c r="D89" s="39"/>
      <c r="E89" s="79">
        <f>E87-E88</f>
        <v>657.2999999998952</v>
      </c>
      <c r="F89" s="29"/>
      <c r="G89" s="40"/>
      <c r="H89" s="40"/>
      <c r="I89" s="40"/>
      <c r="J89" s="40"/>
      <c r="K89" s="29"/>
      <c r="L89" s="29"/>
      <c r="M89" s="29"/>
      <c r="N89" s="29"/>
      <c r="O89" s="29"/>
      <c r="P89" s="29"/>
    </row>
  </sheetData>
  <sheetProtection/>
  <mergeCells count="3">
    <mergeCell ref="B5:J5"/>
    <mergeCell ref="B2:L2"/>
    <mergeCell ref="B38:J38"/>
  </mergeCells>
  <printOptions horizontalCentered="1"/>
  <pageMargins left="0.1968503937007874" right="0" top="0" bottom="0" header="0.5118110236220472" footer="0.31496062992125984"/>
  <pageSetup horizontalDpi="600" verticalDpi="600" orientation="portrait" paperSize="9" scale="53" r:id="rId1"/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Черниговской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u252107</dc:creator>
  <cp:keywords/>
  <dc:description/>
  <cp:lastModifiedBy>ххх</cp:lastModifiedBy>
  <cp:lastPrinted>2017-12-13T16:02:07Z</cp:lastPrinted>
  <dcterms:created xsi:type="dcterms:W3CDTF">2005-11-24T06:28:58Z</dcterms:created>
  <dcterms:modified xsi:type="dcterms:W3CDTF">2017-12-17T12:43:35Z</dcterms:modified>
  <cp:category/>
  <cp:version/>
  <cp:contentType/>
  <cp:contentStatus/>
</cp:coreProperties>
</file>